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📋 Cover" sheetId="1" r:id="rId5"/>
    <sheet state="visible" name="🖩 Main Calculator" sheetId="2" r:id="rId6"/>
    <sheet state="visible" name="🔑 Keyword Estimator" sheetId="3" r:id="rId7"/>
    <sheet state="visible" name="📊 Scenario Planner" sheetId="4" r:id="rId8"/>
    <sheet state="visible" name="⚔️ Competitor Analysis" sheetId="5" r:id="rId9"/>
    <sheet state="visible" name="📅 Monthly Dashboard" sheetId="6" r:id="rId10"/>
  </sheets>
  <definedNames/>
  <calcPr/>
</workbook>
</file>

<file path=xl/sharedStrings.xml><?xml version="1.0" encoding="utf-8"?>
<sst xmlns="http://schemas.openxmlformats.org/spreadsheetml/2006/main" count="289" uniqueCount="256">
  <si>
    <t>💰  GOOGLE ADS COST ESTIMATOR</t>
  </si>
  <si>
    <t>Predict Performance · Plan Budget · Maximise ROI</t>
  </si>
  <si>
    <t>makuracreations.com  |  You Dream, We Weave</t>
  </si>
  <si>
    <t xml:space="preserve">  📦   WHAT'S INCLUDED</t>
  </si>
  <si>
    <t>🖩</t>
  </si>
  <si>
    <t xml:space="preserve">  CPC Calculator</t>
  </si>
  <si>
    <t>Input industry benchmarks to estimate your average cost-per-click with QS adjustment</t>
  </si>
  <si>
    <t>💵</t>
  </si>
  <si>
    <t xml:space="preserve">  Budget Planner</t>
  </si>
  <si>
    <t>Daily, weekly and monthly budget breakdowns from your total spend with click estimates</t>
  </si>
  <si>
    <t>🔄</t>
  </si>
  <si>
    <t xml:space="preserve">  Conversion Projector</t>
  </si>
  <si>
    <t>Estimate leads and sales at your conversion rate with revenue and profit auto-calc</t>
  </si>
  <si>
    <t>📈</t>
  </si>
  <si>
    <t xml:space="preserve">  ROI &amp; ROAS Forecaster</t>
  </si>
  <si>
    <t>Auto-calculates ROAS, ROI, gross profit, net profit and profitability verdict</t>
  </si>
  <si>
    <t>📊</t>
  </si>
  <si>
    <t xml:space="preserve">  Scenario Planner</t>
  </si>
  <si>
    <t>Model Conservative, Moderate and Aggressive campaign scenarios side by side</t>
  </si>
  <si>
    <t>⚔️</t>
  </si>
  <si>
    <t xml:space="preserve">  Competitor Bid Analysis</t>
  </si>
  <si>
    <t>Compare your CPC, CTR, spend and strategy against up to 3 named competitors</t>
  </si>
  <si>
    <t>🔑</t>
  </si>
  <si>
    <t xml:space="preserve">  Keyword Volume Estimator</t>
  </si>
  <si>
    <t>Map clicks, cost and conversions per keyword from your Keyword Planner data</t>
  </si>
  <si>
    <t>📅</t>
  </si>
  <si>
    <t xml:space="preserve">  Monthly Performance Dashboard</t>
  </si>
  <si>
    <t>Track 12 months of actual vs projected metrics with full-year auto-totals</t>
  </si>
  <si>
    <t xml:space="preserve">  👥   WHO IS IT FOR?</t>
  </si>
  <si>
    <t xml:space="preserve">  ▸  Digital Marketers</t>
  </si>
  <si>
    <t>Present clear, data-backed budget proposals to clients or stakeholders</t>
  </si>
  <si>
    <t xml:space="preserve">  ▸  E-commerce Owners</t>
  </si>
  <si>
    <t>Calculate profitability of new product campaigns before spending a dollar</t>
  </si>
  <si>
    <t xml:space="preserve">  ▸  Startups</t>
  </si>
  <si>
    <t>Allocate limited marketing budget efficiently with full ROI visibility</t>
  </si>
  <si>
    <t xml:space="preserve">  ▸  PPC Specialists</t>
  </si>
  <si>
    <t>Build instant client-facing estimates with scenario comparisons and ROAS projections</t>
  </si>
  <si>
    <t>© Makura Creations Pvt. Ltd.  |  makuracreations.com</t>
  </si>
  <si>
    <t xml:space="preserve">💰  GOOGLE ADS COST ESTIMATOR, Main Calculator </t>
  </si>
  <si>
    <t xml:space="preserve">  🔵 Blue bordered cells = YOUR INPUTS     🟢 Green cells = AUTO-CALCULATED     Update blue cells and all results refresh instantly</t>
  </si>
  <si>
    <t xml:space="preserve">  📋  A — CAMPAIGN SETUP</t>
  </si>
  <si>
    <t>Campaign Name</t>
  </si>
  <si>
    <t>e.g. Brand Awareness Q3</t>
  </si>
  <si>
    <t>Industry / Niche</t>
  </si>
  <si>
    <t>e.g. E-commerce / SaaS / Legal / Finance</t>
  </si>
  <si>
    <t>Campaign Objective</t>
  </si>
  <si>
    <t>Leads / Sales / Traffic / Brand Awareness</t>
  </si>
  <si>
    <t>Campaign Start Date</t>
  </si>
  <si>
    <t>e.g. 01 July 2025</t>
  </si>
  <si>
    <t>Target Country</t>
  </si>
  <si>
    <t>e.g. Nepal / USA / UK / Australia</t>
  </si>
  <si>
    <t>Campaign Duration (Days)</t>
  </si>
  <si>
    <t>Total Available Budget ($)</t>
  </si>
  <si>
    <t>Currency</t>
  </si>
  <si>
    <t>USD</t>
  </si>
  <si>
    <t xml:space="preserve">  🖩  B — CPC CALCULATOR  (QS-adjusted CPC = Avg CPC × (11 − Quality Score) ÷ 10)</t>
  </si>
  <si>
    <t xml:space="preserve">  A Quality Score of 7–10 significantly reduces your actual CPC vs competitors. Target QS 7+.</t>
  </si>
  <si>
    <t>Industry Avg CPC ($)</t>
  </si>
  <si>
    <t>Quality Score (1–10)</t>
  </si>
  <si>
    <t>Max Bid / Target CPC ($)</t>
  </si>
  <si>
    <t>Ad Relevance Score (1–3)</t>
  </si>
  <si>
    <t>QS-Adjusted Effective CPC ($)</t>
  </si>
  <si>
    <t>Saving vs Max Bid ($)</t>
  </si>
  <si>
    <t>Estimated Ad Rank</t>
  </si>
  <si>
    <t>Impression Share Est. (%)</t>
  </si>
  <si>
    <t xml:space="preserve">  💵  C — BUDGET PLANNER  (All values auto-calculate from Section A)</t>
  </si>
  <si>
    <t xml:space="preserve">  Change your Total Budget or Duration in Section A and all budget fields update instantly.</t>
  </si>
  <si>
    <t>Daily Budget ($)</t>
  </si>
  <si>
    <t>Weekly Budget ($)</t>
  </si>
  <si>
    <t>Total Clicks Possible</t>
  </si>
  <si>
    <t>Daily Clicks Possible</t>
  </si>
  <si>
    <t>Est. Total Impressions</t>
  </si>
  <si>
    <t>Est. Daily Impressions</t>
  </si>
  <si>
    <t>Cost Per 1,000 Imp (CPM $)</t>
  </si>
  <si>
    <t>Est. Click-Through Rate</t>
  </si>
  <si>
    <t xml:space="preserve">  🔄  D — CONVERSION PROJECTOR</t>
  </si>
  <si>
    <t xml:space="preserve">  Set your conversion rate and value per sale. Revenue, profit and CPA calculate automatically.</t>
  </si>
  <si>
    <t>Landing Page CVR (%)</t>
  </si>
  <si>
    <t>Value Per Conversion ($)</t>
  </si>
  <si>
    <t>Cost of Goods / Delivery ($)</t>
  </si>
  <si>
    <t>Target CPA ($)</t>
  </si>
  <si>
    <t>Est. Total Conversions</t>
  </si>
  <si>
    <t>Est. Daily Conversions</t>
  </si>
  <si>
    <t>Est. Cost Per Conversion ($)</t>
  </si>
  <si>
    <t>Est. Total Revenue ($)</t>
  </si>
  <si>
    <t>Gross Profit ($)</t>
  </si>
  <si>
    <t>Net Profit ($)</t>
  </si>
  <si>
    <t>CPA vs Target</t>
  </si>
  <si>
    <t>Gross Margin (%)</t>
  </si>
  <si>
    <t xml:space="preserve">  📈  E — ROI &amp; ROAS FORECASTER  (ROAS = Revenue ÷ Spend  |  ROI = Net Profit ÷ Spend × 100)</t>
  </si>
  <si>
    <t>Your Target ROAS</t>
  </si>
  <si>
    <t>Break-Even ROAS</t>
  </si>
  <si>
    <t>Actual ROAS</t>
  </si>
  <si>
    <t>ROAS vs Target</t>
  </si>
  <si>
    <t>ROI (%)</t>
  </si>
  <si>
    <t>Campaign Status</t>
  </si>
  <si>
    <t>Total Ad Spend ($)</t>
  </si>
  <si>
    <t>Total Net Profit ($)</t>
  </si>
  <si>
    <t>© Makura Creations Pvt. Ltd.  |  makuracreations.com  |  Google Ads Cost Estimator</t>
  </si>
  <si>
    <t>🔑  KEYWORD VOLUME ESTIMATOR, Map Your Traffic Potential Per Keyword</t>
  </si>
  <si>
    <t xml:space="preserve">  Source keyword data from Google Keyword Planner. Green columns auto-calculate. Add your own keywords from row 16.</t>
  </si>
  <si>
    <t>KEYWORD / SEARCH TERM</t>
  </si>
  <si>
    <t>MATCH TYPE</t>
  </si>
  <si>
    <t>AVG MONTHLY SEARCHES</t>
  </si>
  <si>
    <t>COMPETITION</t>
  </si>
  <si>
    <t>AVG CPC ($)</t>
  </si>
  <si>
    <t>EST. CTR (%)</t>
  </si>
  <si>
    <t>EST. MONTHLY CLICKS</t>
  </si>
  <si>
    <t>EST. MONTHLY COST ($)</t>
  </si>
  <si>
    <t>EST. CONVERSIONS (3%)</t>
  </si>
  <si>
    <t>PRIORITY</t>
  </si>
  <si>
    <t>google ads management service</t>
  </si>
  <si>
    <t>Exact</t>
  </si>
  <si>
    <t>High</t>
  </si>
  <si>
    <t>🟡 Medium</t>
  </si>
  <si>
    <t>hire ppc agency</t>
  </si>
  <si>
    <t>🟡 High</t>
  </si>
  <si>
    <t>google ads for small business</t>
  </si>
  <si>
    <t>Phrase</t>
  </si>
  <si>
    <t>Medium</t>
  </si>
  <si>
    <t>best google ads consultant</t>
  </si>
  <si>
    <t>digital marketing agency</t>
  </si>
  <si>
    <t>Broad</t>
  </si>
  <si>
    <t>🟡 Low</t>
  </si>
  <si>
    <t>ppc campaign management</t>
  </si>
  <si>
    <t>google ads setup service</t>
  </si>
  <si>
    <t>google ads cost calculator</t>
  </si>
  <si>
    <t>Low</t>
  </si>
  <si>
    <t>sem agency near me</t>
  </si>
  <si>
    <t>paid search advertising</t>
  </si>
  <si>
    <t>▶  TOTALS</t>
  </si>
  <si>
    <t>📊  SCENARIO PLANNER, Conservative vs Moderate vs Aggressive</t>
  </si>
  <si>
    <t xml:space="preserve">  Enter base inputs. Three scenarios calculate automatically. Column 4 (MODERATE) = your expected results.</t>
  </si>
  <si>
    <t>METRIC</t>
  </si>
  <si>
    <t>🐢 CONSERVATIVE</t>
  </si>
  <si>
    <t>📊 MODERATE</t>
  </si>
  <si>
    <t>🚀 AGGRESSIVE</t>
  </si>
  <si>
    <t>NOTES</t>
  </si>
  <si>
    <t xml:space="preserve">    📥  BASE INPUTS, Enter values below. Scenarios auto-calculate.</t>
  </si>
  <si>
    <t>Total Campaign Budget ($)</t>
  </si>
  <si>
    <t>Your full available ad spend budget</t>
  </si>
  <si>
    <t>Base Avg CPC ($)</t>
  </si>
  <si>
    <t>Expected average cost per click</t>
  </si>
  <si>
    <t>Base Conversion Rate (%)</t>
  </si>
  <si>
    <t>Landing page CVR (e.g. 3% = 0.03)</t>
  </si>
  <si>
    <t>Revenue per lead or sale</t>
  </si>
  <si>
    <t>Cost to fulfil each conversion</t>
  </si>
  <si>
    <t>Number of campaign days</t>
  </si>
  <si>
    <t xml:space="preserve">    📊  SCENARIO RESULTS — Auto-calculated from your base inputs above</t>
  </si>
  <si>
    <t>ASSUMPTIONS</t>
  </si>
  <si>
    <t>High CPC · Low CVR</t>
  </si>
  <si>
    <t>Expected Base Rates</t>
  </si>
  <si>
    <t>Low CPC · High CVR</t>
  </si>
  <si>
    <t>Multipliers applied</t>
  </si>
  <si>
    <t>Scenario CPC ($)</t>
  </si>
  <si>
    <t>CPC × multiplier</t>
  </si>
  <si>
    <t>Scenario CVR (%)</t>
  </si>
  <si>
    <t>CVR × multiplier</t>
  </si>
  <si>
    <t>Total Clicks</t>
  </si>
  <si>
    <t>Budget ÷ CPC</t>
  </si>
  <si>
    <t>Same across scenarios</t>
  </si>
  <si>
    <t>Daily Clicks</t>
  </si>
  <si>
    <t>Daily budget ÷ CPC</t>
  </si>
  <si>
    <t>Total Conversions</t>
  </si>
  <si>
    <t>Clicks × CVR</t>
  </si>
  <si>
    <t>Cost Per Conversion ($)</t>
  </si>
  <si>
    <t>Budget ÷ Conversions</t>
  </si>
  <si>
    <t>Total Revenue ($)</t>
  </si>
  <si>
    <t>Conversions × Value</t>
  </si>
  <si>
    <t>Conversions × (Val−COGS)</t>
  </si>
  <si>
    <t>Gross Profit − Spend</t>
  </si>
  <si>
    <t>ROAS</t>
  </si>
  <si>
    <t>Revenue ÷ Spend</t>
  </si>
  <si>
    <t>Net Profit ÷ Spend × 100</t>
  </si>
  <si>
    <t>Profitable?</t>
  </si>
  <si>
    <t>Verdict</t>
  </si>
  <si>
    <t>⚔️  COMPETITOR BID ANALYSIS, How Do You Stack Up in the Auction?</t>
  </si>
  <si>
    <t xml:space="preserve">  Source competitor data from Google Keyword Planner, SEMrush, SpyFu, SimilarWeb or iSpionage. Blue = your data.</t>
  </si>
  <si>
    <t>YOUR BRAND</t>
  </si>
  <si>
    <t>COMPETITOR 1</t>
  </si>
  <si>
    <t>COMPETITOR 2</t>
  </si>
  <si>
    <t>COMPETITOR 3</t>
  </si>
  <si>
    <t>INDUSTRY AVG</t>
  </si>
  <si>
    <t>YOUR RANK</t>
  </si>
  <si>
    <t>DATA SOURCE</t>
  </si>
  <si>
    <t>Brand / Handle / URL</t>
  </si>
  <si>
    <t>Your Brand</t>
  </si>
  <si>
    <t>Competitor 1</t>
  </si>
  <si>
    <t>Competitor 2</t>
  </si>
  <si>
    <t>Competitor 3</t>
  </si>
  <si>
    <t>Industry</t>
  </si>
  <si>
    <t>Rank</t>
  </si>
  <si>
    <t>Source</t>
  </si>
  <si>
    <t xml:space="preserve">  📊  BIDDING &amp; SPEND METRICS</t>
  </si>
  <si>
    <t>Est. Avg CPC ($)</t>
  </si>
  <si>
    <t>Keyword Planner / SEMrush</t>
  </si>
  <si>
    <t>Est. Monthly Ad Spend ($)</t>
  </si>
  <si>
    <t>SpyFu / SimilarWeb</t>
  </si>
  <si>
    <t>Est. Monthly Clicks</t>
  </si>
  <si>
    <t>Spend ÷ CPC</t>
  </si>
  <si>
    <t>Est. Monthly Impressions</t>
  </si>
  <si>
    <t>SEMrush / SpyFu</t>
  </si>
  <si>
    <t>Avg Ad Position (1–4)</t>
  </si>
  <si>
    <t>1=Top of page</t>
  </si>
  <si>
    <t>Quality Score Est. (1–10)</t>
  </si>
  <si>
    <t>Estimate based on ad quality</t>
  </si>
  <si>
    <t>CTR (%)</t>
  </si>
  <si>
    <t>SEMrush / tool estimate</t>
  </si>
  <si>
    <t xml:space="preserve">  🎯  CONTENT &amp; STRATEGY</t>
  </si>
  <si>
    <t>No. of Active Campaigns</t>
  </si>
  <si>
    <t>SpyFu / iSpionage</t>
  </si>
  <si>
    <t>Primary Ad Type</t>
  </si>
  <si>
    <t>Search / Display / Shopping / PMax</t>
  </si>
  <si>
    <t>Ad Extensions Used</t>
  </si>
  <si>
    <t>Sitelinks, Callouts, etc.</t>
  </si>
  <si>
    <t>Top 3 Keywords Targeted</t>
  </si>
  <si>
    <t>From SEMrush / SpyFu</t>
  </si>
  <si>
    <t>Landing Page Quality (1–5)</t>
  </si>
  <si>
    <t>Your subjective review</t>
  </si>
  <si>
    <t>Offer / CTA on Ads</t>
  </si>
  <si>
    <t>e.g. Free Trial / Book Now / 20% Off</t>
  </si>
  <si>
    <t>Remarketing in Use?</t>
  </si>
  <si>
    <t>Yes / No / Unknown</t>
  </si>
  <si>
    <t>Paid vs Organic Share</t>
  </si>
  <si>
    <t>Estimate from SimilarWeb</t>
  </si>
  <si>
    <t>Competitive Threat (1–10)</t>
  </si>
  <si>
    <t>Your overall threat rating</t>
  </si>
  <si>
    <t>📅  MONTHLY PERFORMANCE DASHBOARD, Track Actual vs Projected (12 Months)</t>
  </si>
  <si>
    <t xml:space="preserve">  🔵 Enter ACTUAL values each month as your campaign runs.  🟢 Auto-calculated metrics update instantly.  Blue final column = full-year total.</t>
  </si>
  <si>
    <t>METRIC / KPI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</si>
  <si>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</si>
  <si>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</si>
  <si>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</si>
  <si>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</si>
  <si>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</si>
  <si>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</si>
  <si>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</si>
  <si>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</si>
  <si>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</si>
  <si>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</si>
  <si>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</si>
  <si>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</si>
  <si>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FULL YEAR</t>
  </si>
  <si>
    <t>💵 Ad Spend ($)</t>
  </si>
  <si>
    <t>🖱 Clicks</t>
  </si>
  <si>
    <t>👁 Impressions</t>
  </si>
  <si>
    <t>📊 CTR (%)</t>
  </si>
  <si>
    <t>💲 Avg CPC ($)</t>
  </si>
  <si>
    <t>🔄 Conversions</t>
  </si>
  <si>
    <t>📈 CVR (%)</t>
  </si>
  <si>
    <t>💰 Revenue ($)</t>
  </si>
  <si>
    <t>💲 Cost/Conv ($)</t>
  </si>
  <si>
    <t>📈 ROAS</t>
  </si>
  <si>
    <t>💚 Net Profit ($)</t>
  </si>
  <si>
    <t>📊 ROI (%)</t>
  </si>
  <si>
    <t xml:space="preserve">  🔵 Blue = enter actual data monthly  |  🟢 Green = auto-calculated  |  Dark right column = full-year total or average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</si>
</sst>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&quot;$&quot;#,##0.00"/>
    <numFmt numFmtId="165" formatCode="0.0"/>
    <numFmt numFmtId="166" formatCode="$&quot;#,##0.00"/>
    <numFmt numFmtId="167" formatCode="0.0%"/>
    <numFmt numFmtId="168" formatCode="#,##0.0"/>
    <numFmt numFmtId="169" formatCode="0.00&quot;x&quot;"/>
  </numFmts>
  <fonts count="28">
    <font>
      <sz val="11.0"/>
      <color theme="1"/>
      <name val="Calibri"/>
      <scheme val="minor"/>
    </font>
    <font>
      <sz val="11.0"/>
      <color theme="1"/>
      <name val="Calibri"/>
    </font>
    <font>
      <b/>
      <sz val="26.0"/>
      <color rgb="FF0B6EFF"/>
      <name val="Arial"/>
    </font>
    <font/>
    <font>
      <i/>
      <sz val="12.0"/>
      <color rgb="FFBBBBBB"/>
      <name val="Arial"/>
    </font>
    <font>
      <i/>
      <sz val="9.0"/>
      <color rgb="FF3D8EFF"/>
      <name val="Arial"/>
    </font>
    <font>
      <b/>
      <sz val="12.0"/>
      <color rgb="FFFFFFFF"/>
      <name val="Arial"/>
    </font>
    <font>
      <b/>
      <sz val="14.0"/>
      <color rgb="FF0B6EFF"/>
      <name val="Arial"/>
    </font>
    <font>
      <b/>
      <sz val="11.0"/>
      <color rgb="FF0D0D0D"/>
      <name val="Arial"/>
    </font>
    <font>
      <sz val="10.0"/>
      <color rgb="FF4B5563"/>
      <name val="Arial"/>
    </font>
    <font>
      <b/>
      <sz val="11.0"/>
      <color rgb="FF0B6EFF"/>
      <name val="Arial"/>
    </font>
    <font>
      <sz val="10.0"/>
      <color rgb="FF0D0D0D"/>
      <name val="Arial"/>
    </font>
    <font>
      <i/>
      <sz val="9.0"/>
      <color rgb="FF888888"/>
      <name val="Arial"/>
    </font>
    <font>
      <b/>
      <sz val="15.0"/>
      <color rgb="FF0B6EFF"/>
      <name val="Arial"/>
    </font>
    <font>
      <i/>
      <sz val="10.0"/>
      <color rgb="FF4B5563"/>
      <name val="Arial"/>
    </font>
    <font>
      <b/>
      <sz val="11.0"/>
      <color rgb="FFFFFFFF"/>
      <name val="Arial"/>
    </font>
    <font>
      <b/>
      <sz val="10.0"/>
      <color rgb="FFFFFFFF"/>
      <name val="Arial"/>
    </font>
    <font>
      <b/>
      <i/>
      <sz val="11.0"/>
      <color rgb="FF9CA3AF"/>
      <name val="Arial"/>
    </font>
    <font>
      <i/>
      <sz val="9.0"/>
      <color rgb="FF9CA3AF"/>
      <name val="Arial"/>
    </font>
    <font>
      <b/>
      <sz val="12.0"/>
      <color rgb="FF16A34A"/>
      <name val="Arial"/>
    </font>
    <font>
      <b/>
      <sz val="12.0"/>
      <color rgb="FF0B6EFF"/>
      <name val="Arial"/>
    </font>
    <font>
      <b/>
      <sz val="9.0"/>
      <color rgb="FFFFFFFF"/>
      <name val="Arial"/>
    </font>
    <font>
      <b/>
      <sz val="10.0"/>
      <color rgb="FF16A34A"/>
      <name val="Arial"/>
    </font>
    <font>
      <i/>
      <sz val="10.0"/>
      <color rgb="FF9CA3AF"/>
      <name val="Arial"/>
    </font>
    <font>
      <i/>
      <sz val="9.0"/>
      <color rgb="FF4B5563"/>
      <name val="Arial"/>
    </font>
    <font>
      <b/>
      <sz val="11.0"/>
      <color rgb="FF16A34A"/>
      <name val="Arial"/>
    </font>
    <font>
      <b/>
      <i/>
      <sz val="10.0"/>
      <color rgb="FF0B6EFF"/>
      <name val="Arial"/>
    </font>
    <font>
      <sz val="10.0"/>
      <color rgb="FF0B6EFF"/>
      <name val="Arial"/>
    </font>
  </fonts>
  <fills count="12">
    <fill>
      <patternFill patternType="none"/>
    </fill>
    <fill>
      <patternFill patternType="lightGray"/>
    </fill>
    <fill>
      <patternFill patternType="solid">
        <fgColor rgb="FF0D0D0D"/>
        <bgColor rgb="FF0D0D0D"/>
      </patternFill>
    </fill>
    <fill>
      <patternFill patternType="solid">
        <fgColor rgb="FF0B6EFF"/>
        <bgColor rgb="FF0B6EFF"/>
      </patternFill>
    </fill>
    <fill>
      <patternFill patternType="solid">
        <fgColor rgb="FFF5F7FF"/>
        <bgColor rgb="FFF5F7FF"/>
      </patternFill>
    </fill>
    <fill>
      <patternFill patternType="solid">
        <fgColor rgb="FFE8F1FF"/>
        <bgColor rgb="FFE8F1FF"/>
      </patternFill>
    </fill>
    <fill>
      <patternFill patternType="solid">
        <fgColor rgb="FFFFFFFF"/>
        <bgColor rgb="FFFFFFFF"/>
      </patternFill>
    </fill>
    <fill>
      <patternFill patternType="solid">
        <fgColor rgb="FF1A1A1A"/>
        <bgColor rgb="FF1A1A1A"/>
      </patternFill>
    </fill>
    <fill>
      <patternFill patternType="solid">
        <fgColor rgb="FFDCFCE7"/>
        <bgColor rgb="FFDCFCE7"/>
      </patternFill>
    </fill>
    <fill>
      <patternFill patternType="solid">
        <fgColor rgb="FF2A2A2A"/>
        <bgColor rgb="FF2A2A2A"/>
      </patternFill>
    </fill>
    <fill>
      <patternFill patternType="solid">
        <fgColor rgb="FF16A34A"/>
        <bgColor rgb="FF16A34A"/>
      </patternFill>
    </fill>
    <fill>
      <patternFill patternType="solid">
        <fgColor rgb="FFEBEBEB"/>
        <bgColor rgb="FFEBEBEB"/>
      </patternFill>
    </fill>
  </fills>
  <borders count="11">
    <border/>
    <border>
      <left/>
      <right/>
      <top/>
      <bottom/>
    </border>
    <border>
      <left/>
      <top/>
      <bottom/>
    </border>
    <border>
      <top/>
      <bottom/>
    </border>
    <border>
      <right/>
      <top/>
      <bottom/>
    </border>
    <border>
      <left style="thin">
        <color rgb="FFD1D5DB"/>
      </left>
      <right style="thin">
        <color rgb="FFD1D5DB"/>
      </right>
      <top style="thin">
        <color rgb="FFD1D5DB"/>
      </top>
      <bottom style="thin">
        <color rgb="FFD1D5DB"/>
      </bottom>
    </border>
    <border>
      <left style="medium">
        <color rgb="FF0B6EFF"/>
      </left>
      <right style="medium">
        <color rgb="FF0B6EFF"/>
      </right>
      <top style="medium">
        <color rgb="FF0B6EFF"/>
      </top>
      <bottom style="medium">
        <color rgb="FF0B6EFF"/>
      </bottom>
    </border>
    <border>
      <left style="medium">
        <color rgb="FF16A34A"/>
      </left>
      <right style="medium">
        <color rgb="FF16A34A"/>
      </right>
      <top style="medium">
        <color rgb="FF16A34A"/>
      </top>
      <bottom style="medium">
        <color rgb="FF16A34A"/>
      </bottom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</border>
    <border>
      <left style="thin">
        <color rgb="FFD1D5DB"/>
      </left>
      <top style="thin">
        <color rgb="FFD1D5DB"/>
      </top>
      <bottom style="thin">
        <color rgb="FFD1D5DB"/>
      </bottom>
    </border>
    <border>
      <right style="thin">
        <color rgb="FFD1D5DB"/>
      </right>
      <top style="thin">
        <color rgb="FFD1D5DB"/>
      </top>
      <bottom style="thin">
        <color rgb="FFD1D5DB"/>
      </bottom>
    </border>
  </borders>
  <cellStyleXfs count="1">
    <xf borderId="0" fillId="0" fontId="0" numFmtId="0" applyAlignment="1" applyFont="1"/>
  </cellStyleXfs>
  <cellXfs count="135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Alignment="1" applyBorder="1" applyFont="1">
      <alignment horizontal="center" vertical="center"/>
    </xf>
    <xf borderId="3" fillId="0" fontId="3" numFmtId="0" xfId="0" applyBorder="1" applyFont="1"/>
    <xf borderId="4" fillId="0" fontId="3" numFmtId="0" xfId="0" applyBorder="1" applyFont="1"/>
    <xf borderId="2" fillId="2" fontId="4" numFmtId="0" xfId="0" applyAlignment="1" applyBorder="1" applyFont="1">
      <alignment horizontal="center" vertical="center"/>
    </xf>
    <xf borderId="2" fillId="2" fontId="5" numFmtId="0" xfId="0" applyAlignment="1" applyBorder="1" applyFont="1">
      <alignment horizontal="center" vertical="center"/>
    </xf>
    <xf borderId="1" fillId="3" fontId="1" numFmtId="0" xfId="0" applyBorder="1" applyFill="1" applyFont="1"/>
    <xf borderId="1" fillId="4" fontId="1" numFmtId="0" xfId="0" applyBorder="1" applyFill="1" applyFont="1"/>
    <xf borderId="2" fillId="3" fontId="6" numFmtId="0" xfId="0" applyAlignment="1" applyBorder="1" applyFont="1">
      <alignment horizontal="left" vertical="center"/>
    </xf>
    <xf borderId="1" fillId="5" fontId="1" numFmtId="0" xfId="0" applyBorder="1" applyFill="1" applyFont="1"/>
    <xf borderId="1" fillId="5" fontId="7" numFmtId="0" xfId="0" applyAlignment="1" applyBorder="1" applyFont="1">
      <alignment horizontal="center" vertical="center"/>
    </xf>
    <xf borderId="2" fillId="5" fontId="8" numFmtId="0" xfId="0" applyAlignment="1" applyBorder="1" applyFont="1">
      <alignment horizontal="left" vertical="center"/>
    </xf>
    <xf borderId="2" fillId="5" fontId="9" numFmtId="0" xfId="0" applyAlignment="1" applyBorder="1" applyFont="1">
      <alignment horizontal="left" vertical="center"/>
    </xf>
    <xf borderId="1" fillId="6" fontId="1" numFmtId="0" xfId="0" applyBorder="1" applyFill="1" applyFont="1"/>
    <xf borderId="1" fillId="6" fontId="7" numFmtId="0" xfId="0" applyAlignment="1" applyBorder="1" applyFont="1">
      <alignment horizontal="center" vertical="center"/>
    </xf>
    <xf borderId="2" fillId="6" fontId="8" numFmtId="0" xfId="0" applyAlignment="1" applyBorder="1" applyFont="1">
      <alignment horizontal="left" vertical="center"/>
    </xf>
    <xf borderId="2" fillId="6" fontId="9" numFmtId="0" xfId="0" applyAlignment="1" applyBorder="1" applyFont="1">
      <alignment horizontal="left" vertical="center"/>
    </xf>
    <xf borderId="2" fillId="7" fontId="6" numFmtId="0" xfId="0" applyAlignment="1" applyBorder="1" applyFill="1" applyFont="1">
      <alignment horizontal="left" vertical="center"/>
    </xf>
    <xf borderId="2" fillId="5" fontId="10" numFmtId="0" xfId="0" applyAlignment="1" applyBorder="1" applyFont="1">
      <alignment horizontal="left" vertical="center"/>
    </xf>
    <xf borderId="2" fillId="5" fontId="11" numFmtId="0" xfId="0" applyAlignment="1" applyBorder="1" applyFont="1">
      <alignment horizontal="left" vertical="center"/>
    </xf>
    <xf borderId="2" fillId="6" fontId="10" numFmtId="0" xfId="0" applyAlignment="1" applyBorder="1" applyFont="1">
      <alignment horizontal="left" vertical="center"/>
    </xf>
    <xf borderId="2" fillId="6" fontId="11" numFmtId="0" xfId="0" applyAlignment="1" applyBorder="1" applyFont="1">
      <alignment horizontal="left" vertical="center"/>
    </xf>
    <xf borderId="2" fillId="2" fontId="12" numFmtId="0" xfId="0" applyAlignment="1" applyBorder="1" applyFont="1">
      <alignment horizontal="center" vertical="center"/>
    </xf>
    <xf borderId="2" fillId="2" fontId="13" numFmtId="0" xfId="0" applyAlignment="1" applyBorder="1" applyFont="1">
      <alignment horizontal="center" readingOrder="0" vertical="center"/>
    </xf>
    <xf borderId="2" fillId="3" fontId="1" numFmtId="0" xfId="0" applyBorder="1" applyFont="1"/>
    <xf borderId="2" fillId="4" fontId="14" numFmtId="0" xfId="0" applyAlignment="1" applyBorder="1" applyFont="1">
      <alignment horizontal="left" vertical="center"/>
    </xf>
    <xf borderId="2" fillId="3" fontId="15" numFmtId="0" xfId="0" applyAlignment="1" applyBorder="1" applyFont="1">
      <alignment horizontal="left" vertical="center"/>
    </xf>
    <xf borderId="5" fillId="7" fontId="16" numFmtId="0" xfId="0" applyAlignment="1" applyBorder="1" applyFont="1">
      <alignment horizontal="left" shrinkToFit="0" vertical="center" wrapText="1"/>
    </xf>
    <xf borderId="5" fillId="7" fontId="1" numFmtId="0" xfId="0" applyBorder="1" applyFont="1"/>
    <xf borderId="6" fillId="5" fontId="17" numFmtId="0" xfId="0" applyAlignment="1" applyBorder="1" applyFont="1">
      <alignment horizontal="center" vertical="center"/>
    </xf>
    <xf borderId="6" fillId="5" fontId="10" numFmtId="3" xfId="0" applyAlignment="1" applyBorder="1" applyFont="1" applyNumberFormat="1">
      <alignment horizontal="center" vertical="center"/>
    </xf>
    <xf borderId="6" fillId="5" fontId="10" numFmtId="164" xfId="0" applyAlignment="1" applyBorder="1" applyFont="1" applyNumberFormat="1">
      <alignment horizontal="center" vertical="center"/>
    </xf>
    <xf borderId="6" fillId="5" fontId="10" numFmtId="0" xfId="0" applyAlignment="1" applyBorder="1" applyFont="1">
      <alignment horizontal="center" vertical="center"/>
    </xf>
    <xf borderId="2" fillId="5" fontId="18" numFmtId="0" xfId="0" applyAlignment="1" applyBorder="1" applyFont="1">
      <alignment horizontal="left" vertical="center"/>
    </xf>
    <xf borderId="7" fillId="8" fontId="19" numFmtId="164" xfId="0" applyAlignment="1" applyBorder="1" applyFill="1" applyFont="1" applyNumberFormat="1">
      <alignment horizontal="center" vertical="center"/>
    </xf>
    <xf borderId="5" fillId="9" fontId="16" numFmtId="0" xfId="0" applyAlignment="1" applyBorder="1" applyFill="1" applyFont="1">
      <alignment horizontal="left" shrinkToFit="0" vertical="center" wrapText="1"/>
    </xf>
    <xf borderId="5" fillId="9" fontId="1" numFmtId="0" xfId="0" applyBorder="1" applyFont="1"/>
    <xf borderId="7" fillId="8" fontId="19" numFmtId="165" xfId="0" applyAlignment="1" applyBorder="1" applyFont="1" applyNumberFormat="1">
      <alignment horizontal="center" vertical="center"/>
    </xf>
    <xf borderId="7" fillId="8" fontId="19" numFmtId="9" xfId="0" applyAlignment="1" applyBorder="1" applyFont="1" applyNumberFormat="1">
      <alignment horizontal="center" vertical="center"/>
    </xf>
    <xf borderId="7" fillId="8" fontId="19" numFmtId="166" xfId="0" applyAlignment="1" applyBorder="1" applyFont="1" applyNumberFormat="1">
      <alignment horizontal="center" vertical="center"/>
    </xf>
    <xf borderId="7" fillId="8" fontId="19" numFmtId="3" xfId="0" applyAlignment="1" applyBorder="1" applyFont="1" applyNumberFormat="1">
      <alignment horizontal="center" vertical="center"/>
    </xf>
    <xf borderId="7" fillId="8" fontId="19" numFmtId="167" xfId="0" applyAlignment="1" applyBorder="1" applyFont="1" applyNumberFormat="1">
      <alignment horizontal="center" vertical="center"/>
    </xf>
    <xf borderId="6" fillId="5" fontId="10" numFmtId="10" xfId="0" applyAlignment="1" applyBorder="1" applyFont="1" applyNumberFormat="1">
      <alignment horizontal="center" vertical="center"/>
    </xf>
    <xf borderId="7" fillId="8" fontId="19" numFmtId="168" xfId="0" applyAlignment="1" applyBorder="1" applyFont="1" applyNumberFormat="1">
      <alignment horizontal="center" vertical="center"/>
    </xf>
    <xf borderId="7" fillId="8" fontId="19" numFmtId="49" xfId="0" applyAlignment="1" applyBorder="1" applyFont="1" applyNumberFormat="1">
      <alignment horizontal="center" vertical="center"/>
    </xf>
    <xf borderId="5" fillId="7" fontId="16" numFmtId="0" xfId="0" applyAlignment="1" applyBorder="1" applyFont="1">
      <alignment horizontal="left" vertical="center"/>
    </xf>
    <xf borderId="6" fillId="5" fontId="20" numFmtId="169" xfId="0" applyAlignment="1" applyBorder="1" applyFont="1" applyNumberFormat="1">
      <alignment horizontal="center" vertical="center"/>
    </xf>
    <xf borderId="5" fillId="9" fontId="16" numFmtId="0" xfId="0" applyAlignment="1" applyBorder="1" applyFont="1">
      <alignment horizontal="left" vertical="center"/>
    </xf>
    <xf borderId="7" fillId="8" fontId="19" numFmtId="169" xfId="0" applyAlignment="1" applyBorder="1" applyFont="1" applyNumberFormat="1">
      <alignment horizontal="center" vertical="center"/>
    </xf>
    <xf borderId="7" fillId="8" fontId="19" numFmtId="10" xfId="0" applyAlignment="1" applyBorder="1" applyFont="1" applyNumberFormat="1">
      <alignment horizontal="center" vertical="center"/>
    </xf>
    <xf borderId="2" fillId="9" fontId="1" numFmtId="0" xfId="0" applyBorder="1" applyFont="1"/>
    <xf borderId="2" fillId="10" fontId="6" numFmtId="0" xfId="0" applyAlignment="1" applyBorder="1" applyFill="1" applyFont="1">
      <alignment horizontal="center" vertical="center"/>
    </xf>
    <xf borderId="2" fillId="4" fontId="18" numFmtId="0" xfId="0" applyAlignment="1" applyBorder="1" applyFont="1">
      <alignment horizontal="left" vertical="center"/>
    </xf>
    <xf borderId="8" fillId="2" fontId="21" numFmtId="0" xfId="0" applyAlignment="1" applyBorder="1" applyFont="1">
      <alignment horizontal="center" shrinkToFit="0" vertical="center" wrapText="1"/>
    </xf>
    <xf borderId="8" fillId="7" fontId="21" numFmtId="0" xfId="0" applyAlignment="1" applyBorder="1" applyFont="1">
      <alignment horizontal="center" shrinkToFit="0" vertical="center" wrapText="1"/>
    </xf>
    <xf borderId="8" fillId="3" fontId="21" numFmtId="0" xfId="0" applyAlignment="1" applyBorder="1" applyFont="1">
      <alignment horizontal="center" shrinkToFit="0" vertical="center" wrapText="1"/>
    </xf>
    <xf borderId="8" fillId="9" fontId="21" numFmtId="0" xfId="0" applyAlignment="1" applyBorder="1" applyFont="1">
      <alignment horizontal="center" shrinkToFit="0" vertical="center" wrapText="1"/>
    </xf>
    <xf borderId="5" fillId="5" fontId="11" numFmtId="0" xfId="0" applyAlignment="1" applyBorder="1" applyFont="1">
      <alignment horizontal="left" shrinkToFit="0" vertical="center" wrapText="1"/>
    </xf>
    <xf borderId="5" fillId="5" fontId="11" numFmtId="0" xfId="0" applyAlignment="1" applyBorder="1" applyFont="1">
      <alignment horizontal="center" shrinkToFit="0" vertical="center" wrapText="1"/>
    </xf>
    <xf borderId="5" fillId="5" fontId="11" numFmtId="3" xfId="0" applyAlignment="1" applyBorder="1" applyFont="1" applyNumberFormat="1">
      <alignment horizontal="center" shrinkToFit="0" vertical="center" wrapText="1"/>
    </xf>
    <xf borderId="5" fillId="5" fontId="11" numFmtId="164" xfId="0" applyAlignment="1" applyBorder="1" applyFont="1" applyNumberFormat="1">
      <alignment horizontal="center" shrinkToFit="0" vertical="center" wrapText="1"/>
    </xf>
    <xf borderId="5" fillId="5" fontId="11" numFmtId="167" xfId="0" applyAlignment="1" applyBorder="1" applyFont="1" applyNumberFormat="1">
      <alignment horizontal="center" shrinkToFit="0" vertical="center" wrapText="1"/>
    </xf>
    <xf borderId="5" fillId="5" fontId="22" numFmtId="3" xfId="0" applyAlignment="1" applyBorder="1" applyFont="1" applyNumberFormat="1">
      <alignment horizontal="center" shrinkToFit="0" vertical="center" wrapText="1"/>
    </xf>
    <xf borderId="5" fillId="5" fontId="22" numFmtId="164" xfId="0" applyAlignment="1" applyBorder="1" applyFont="1" applyNumberFormat="1">
      <alignment horizontal="center" shrinkToFit="0" vertical="center" wrapText="1"/>
    </xf>
    <xf borderId="5" fillId="5" fontId="22" numFmtId="168" xfId="0" applyAlignment="1" applyBorder="1" applyFont="1" applyNumberFormat="1">
      <alignment horizontal="center" shrinkToFit="0" vertical="center" wrapText="1"/>
    </xf>
    <xf borderId="5" fillId="6" fontId="11" numFmtId="0" xfId="0" applyAlignment="1" applyBorder="1" applyFont="1">
      <alignment horizontal="left" shrinkToFit="0" vertical="center" wrapText="1"/>
    </xf>
    <xf borderId="5" fillId="6" fontId="11" numFmtId="0" xfId="0" applyAlignment="1" applyBorder="1" applyFont="1">
      <alignment horizontal="center" shrinkToFit="0" vertical="center" wrapText="1"/>
    </xf>
    <xf borderId="5" fillId="6" fontId="11" numFmtId="3" xfId="0" applyAlignment="1" applyBorder="1" applyFont="1" applyNumberFormat="1">
      <alignment horizontal="center" shrinkToFit="0" vertical="center" wrapText="1"/>
    </xf>
    <xf borderId="5" fillId="6" fontId="11" numFmtId="164" xfId="0" applyAlignment="1" applyBorder="1" applyFont="1" applyNumberFormat="1">
      <alignment horizontal="center" shrinkToFit="0" vertical="center" wrapText="1"/>
    </xf>
    <xf borderId="5" fillId="6" fontId="11" numFmtId="167" xfId="0" applyAlignment="1" applyBorder="1" applyFont="1" applyNumberFormat="1">
      <alignment horizontal="center" shrinkToFit="0" vertical="center" wrapText="1"/>
    </xf>
    <xf borderId="5" fillId="6" fontId="22" numFmtId="3" xfId="0" applyAlignment="1" applyBorder="1" applyFont="1" applyNumberFormat="1">
      <alignment horizontal="center" shrinkToFit="0" vertical="center" wrapText="1"/>
    </xf>
    <xf borderId="5" fillId="6" fontId="22" numFmtId="164" xfId="0" applyAlignment="1" applyBorder="1" applyFont="1" applyNumberFormat="1">
      <alignment horizontal="center" shrinkToFit="0" vertical="center" wrapText="1"/>
    </xf>
    <xf borderId="5" fillId="6" fontId="22" numFmtId="168" xfId="0" applyAlignment="1" applyBorder="1" applyFont="1" applyNumberFormat="1">
      <alignment horizontal="center" shrinkToFit="0" vertical="center" wrapText="1"/>
    </xf>
    <xf borderId="5" fillId="3" fontId="15" numFmtId="0" xfId="0" applyAlignment="1" applyBorder="1" applyFont="1">
      <alignment horizontal="left" vertical="center"/>
    </xf>
    <xf borderId="5" fillId="3" fontId="1" numFmtId="0" xfId="0" applyBorder="1" applyFont="1"/>
    <xf borderId="5" fillId="3" fontId="15" numFmtId="3" xfId="0" applyAlignment="1" applyBorder="1" applyFont="1" applyNumberFormat="1">
      <alignment horizontal="center" vertical="center"/>
    </xf>
    <xf borderId="5" fillId="3" fontId="15" numFmtId="164" xfId="0" applyAlignment="1" applyBorder="1" applyFont="1" applyNumberFormat="1">
      <alignment horizontal="center" vertical="center"/>
    </xf>
    <xf borderId="5" fillId="3" fontId="15" numFmtId="167" xfId="0" applyAlignment="1" applyBorder="1" applyFont="1" applyNumberFormat="1">
      <alignment horizontal="center" vertical="center"/>
    </xf>
    <xf borderId="5" fillId="3" fontId="15" numFmtId="168" xfId="0" applyAlignment="1" applyBorder="1" applyFont="1" applyNumberFormat="1">
      <alignment horizontal="center" vertical="center"/>
    </xf>
    <xf borderId="5" fillId="5" fontId="23" numFmtId="0" xfId="0" applyAlignment="1" applyBorder="1" applyFont="1">
      <alignment horizontal="left" shrinkToFit="0" vertical="center" wrapText="1"/>
    </xf>
    <xf borderId="5" fillId="5" fontId="23" numFmtId="0" xfId="0" applyAlignment="1" applyBorder="1" applyFont="1">
      <alignment horizontal="center" vertical="center"/>
    </xf>
    <xf borderId="5" fillId="5" fontId="22" numFmtId="3" xfId="0" applyAlignment="1" applyBorder="1" applyFont="1" applyNumberFormat="1">
      <alignment horizontal="center" vertical="center"/>
    </xf>
    <xf borderId="5" fillId="5" fontId="22" numFmtId="164" xfId="0" applyAlignment="1" applyBorder="1" applyFont="1" applyNumberFormat="1">
      <alignment horizontal="center" vertical="center"/>
    </xf>
    <xf borderId="5" fillId="5" fontId="22" numFmtId="168" xfId="0" applyAlignment="1" applyBorder="1" applyFont="1" applyNumberFormat="1">
      <alignment horizontal="center" vertical="center"/>
    </xf>
    <xf borderId="5" fillId="6" fontId="23" numFmtId="0" xfId="0" applyAlignment="1" applyBorder="1" applyFont="1">
      <alignment horizontal="left" shrinkToFit="0" vertical="center" wrapText="1"/>
    </xf>
    <xf borderId="5" fillId="6" fontId="23" numFmtId="0" xfId="0" applyAlignment="1" applyBorder="1" applyFont="1">
      <alignment horizontal="center" vertical="center"/>
    </xf>
    <xf borderId="5" fillId="6" fontId="22" numFmtId="3" xfId="0" applyAlignment="1" applyBorder="1" applyFont="1" applyNumberFormat="1">
      <alignment horizontal="center" vertical="center"/>
    </xf>
    <xf borderId="5" fillId="6" fontId="22" numFmtId="164" xfId="0" applyAlignment="1" applyBorder="1" applyFont="1" applyNumberFormat="1">
      <alignment horizontal="center" vertical="center"/>
    </xf>
    <xf borderId="5" fillId="6" fontId="22" numFmtId="168" xfId="0" applyAlignment="1" applyBorder="1" applyFont="1" applyNumberFormat="1">
      <alignment horizontal="center" vertical="center"/>
    </xf>
    <xf borderId="9" fillId="2" fontId="15" numFmtId="0" xfId="0" applyAlignment="1" applyBorder="1" applyFont="1">
      <alignment horizontal="center" vertical="center"/>
    </xf>
    <xf borderId="10" fillId="0" fontId="3" numFmtId="0" xfId="0" applyBorder="1" applyFont="1"/>
    <xf borderId="8" fillId="7" fontId="15" numFmtId="0" xfId="0" applyAlignment="1" applyBorder="1" applyFont="1">
      <alignment horizontal="center" vertical="center"/>
    </xf>
    <xf borderId="8" fillId="3" fontId="15" numFmtId="0" xfId="0" applyAlignment="1" applyBorder="1" applyFont="1">
      <alignment horizontal="center" vertical="center"/>
    </xf>
    <xf borderId="8" fillId="9" fontId="15" numFmtId="0" xfId="0" applyAlignment="1" applyBorder="1" applyFont="1">
      <alignment horizontal="center" vertical="center"/>
    </xf>
    <xf borderId="2" fillId="3" fontId="15" numFmtId="0" xfId="0" applyAlignment="1" applyBorder="1" applyFont="1">
      <alignment horizontal="left" readingOrder="0" vertical="center"/>
    </xf>
    <xf borderId="9" fillId="7" fontId="16" numFmtId="0" xfId="0" applyAlignment="1" applyBorder="1" applyFont="1">
      <alignment horizontal="left" shrinkToFit="0" vertical="center" wrapText="1"/>
    </xf>
    <xf borderId="6" fillId="5" fontId="20" numFmtId="164" xfId="0" applyAlignment="1" applyBorder="1" applyFont="1" applyNumberFormat="1">
      <alignment horizontal="center" vertical="center"/>
    </xf>
    <xf borderId="5" fillId="6" fontId="1" numFmtId="0" xfId="0" applyBorder="1" applyFont="1"/>
    <xf borderId="5" fillId="11" fontId="1" numFmtId="0" xfId="0" applyBorder="1" applyFill="1" applyFont="1"/>
    <xf borderId="5" fillId="11" fontId="24" numFmtId="0" xfId="0" applyAlignment="1" applyBorder="1" applyFont="1">
      <alignment horizontal="left" shrinkToFit="0" vertical="center" wrapText="1"/>
    </xf>
    <xf borderId="6" fillId="5" fontId="20" numFmtId="10" xfId="0" applyAlignment="1" applyBorder="1" applyFont="1" applyNumberFormat="1">
      <alignment horizontal="center" vertical="center"/>
    </xf>
    <xf borderId="6" fillId="5" fontId="20" numFmtId="3" xfId="0" applyAlignment="1" applyBorder="1" applyFont="1" applyNumberFormat="1">
      <alignment horizontal="center" vertical="center"/>
    </xf>
    <xf borderId="9" fillId="2" fontId="21" numFmtId="0" xfId="0" applyBorder="1" applyFont="1"/>
    <xf borderId="5" fillId="11" fontId="18" numFmtId="0" xfId="0" applyAlignment="1" applyBorder="1" applyFont="1">
      <alignment horizontal="center" vertical="center"/>
    </xf>
    <xf borderId="5" fillId="5" fontId="8" numFmtId="164" xfId="0" applyAlignment="1" applyBorder="1" applyFont="1" applyNumberFormat="1">
      <alignment horizontal="center" vertical="center"/>
    </xf>
    <xf borderId="5" fillId="6" fontId="8" numFmtId="10" xfId="0" applyAlignment="1" applyBorder="1" applyFont="1" applyNumberFormat="1">
      <alignment horizontal="center" vertical="center"/>
    </xf>
    <xf borderId="5" fillId="3" fontId="15" numFmtId="10" xfId="0" applyAlignment="1" applyBorder="1" applyFont="1" applyNumberFormat="1">
      <alignment horizontal="center" vertical="center"/>
    </xf>
    <xf borderId="5" fillId="5" fontId="8" numFmtId="3" xfId="0" applyAlignment="1" applyBorder="1" applyFont="1" applyNumberFormat="1">
      <alignment horizontal="center" vertical="center"/>
    </xf>
    <xf borderId="5" fillId="6" fontId="8" numFmtId="164" xfId="0" applyAlignment="1" applyBorder="1" applyFont="1" applyNumberFormat="1">
      <alignment horizontal="center" vertical="center"/>
    </xf>
    <xf borderId="5" fillId="5" fontId="8" numFmtId="168" xfId="0" applyAlignment="1" applyBorder="1" applyFont="1" applyNumberFormat="1">
      <alignment horizontal="center" vertical="center"/>
    </xf>
    <xf borderId="5" fillId="6" fontId="8" numFmtId="168" xfId="0" applyAlignment="1" applyBorder="1" applyFont="1" applyNumberFormat="1">
      <alignment horizontal="center" vertical="center"/>
    </xf>
    <xf borderId="5" fillId="8" fontId="25" numFmtId="164" xfId="0" applyAlignment="1" applyBorder="1" applyFont="1" applyNumberFormat="1">
      <alignment horizontal="center" vertical="center"/>
    </xf>
    <xf borderId="5" fillId="8" fontId="25" numFmtId="169" xfId="0" applyAlignment="1" applyBorder="1" applyFont="1" applyNumberFormat="1">
      <alignment horizontal="center" vertical="center"/>
    </xf>
    <xf borderId="5" fillId="3" fontId="15" numFmtId="169" xfId="0" applyAlignment="1" applyBorder="1" applyFont="1" applyNumberFormat="1">
      <alignment horizontal="center" vertical="center"/>
    </xf>
    <xf borderId="5" fillId="8" fontId="25" numFmtId="10" xfId="0" applyAlignment="1" applyBorder="1" applyFont="1" applyNumberFormat="1">
      <alignment horizontal="center" vertical="center"/>
    </xf>
    <xf borderId="5" fillId="8" fontId="25" numFmtId="49" xfId="0" applyAlignment="1" applyBorder="1" applyFont="1" applyNumberFormat="1">
      <alignment horizontal="center" vertical="center"/>
    </xf>
    <xf borderId="5" fillId="3" fontId="15" numFmtId="49" xfId="0" applyAlignment="1" applyBorder="1" applyFont="1" applyNumberFormat="1">
      <alignment horizontal="center" vertical="center"/>
    </xf>
    <xf borderId="8" fillId="2" fontId="16" numFmtId="0" xfId="0" applyAlignment="1" applyBorder="1" applyFont="1">
      <alignment horizontal="center" shrinkToFit="0" vertical="center" wrapText="1"/>
    </xf>
    <xf borderId="8" fillId="3" fontId="16" numFmtId="0" xfId="0" applyAlignment="1" applyBorder="1" applyFont="1">
      <alignment horizontal="center" shrinkToFit="0" vertical="center" wrapText="1"/>
    </xf>
    <xf borderId="8" fillId="7" fontId="16" numFmtId="0" xfId="0" applyAlignment="1" applyBorder="1" applyFont="1">
      <alignment horizontal="center" shrinkToFit="0" vertical="center" wrapText="1"/>
    </xf>
    <xf borderId="8" fillId="9" fontId="16" numFmtId="0" xfId="0" applyAlignment="1" applyBorder="1" applyFont="1">
      <alignment horizontal="center" shrinkToFit="0" vertical="center" wrapText="1"/>
    </xf>
    <xf borderId="5" fillId="2" fontId="16" numFmtId="0" xfId="0" applyAlignment="1" applyBorder="1" applyFont="1">
      <alignment horizontal="left" vertical="center"/>
    </xf>
    <xf borderId="5" fillId="5" fontId="26" numFmtId="0" xfId="0" applyAlignment="1" applyBorder="1" applyFont="1">
      <alignment horizontal="center" vertical="center"/>
    </xf>
    <xf borderId="5" fillId="11" fontId="23" numFmtId="0" xfId="0" applyAlignment="1" applyBorder="1" applyFont="1">
      <alignment horizontal="center" vertical="center"/>
    </xf>
    <xf borderId="5" fillId="5" fontId="27" numFmtId="0" xfId="0" applyAlignment="1" applyBorder="1" applyFont="1">
      <alignment horizontal="center" shrinkToFit="0" vertical="center" wrapText="1"/>
    </xf>
    <xf borderId="5" fillId="11" fontId="11" numFmtId="0" xfId="0" applyAlignment="1" applyBorder="1" applyFont="1">
      <alignment horizontal="center" shrinkToFit="0" vertical="center" wrapText="1"/>
    </xf>
    <xf borderId="5" fillId="11" fontId="14" numFmtId="0" xfId="0" applyAlignment="1" applyBorder="1" applyFont="1">
      <alignment horizontal="left" shrinkToFit="0" vertical="center" wrapText="1"/>
    </xf>
    <xf borderId="5" fillId="2" fontId="16" numFmtId="0" xfId="0" applyAlignment="1" applyBorder="1" applyFont="1">
      <alignment horizontal="center" vertical="center"/>
    </xf>
    <xf borderId="8" fillId="3" fontId="16" numFmtId="0" xfId="0" applyAlignment="1" applyBorder="1" applyFont="1">
      <alignment horizontal="center" vertical="center"/>
    </xf>
    <xf borderId="8" fillId="7" fontId="16" numFmtId="0" xfId="0" applyAlignment="1" applyBorder="1" applyFont="1">
      <alignment horizontal="center" vertical="center"/>
    </xf>
    <xf borderId="5" fillId="3" fontId="16" numFmtId="0" xfId="0" applyAlignment="1" applyBorder="1" applyFont="1">
      <alignment horizontal="left" shrinkToFit="0" vertical="center" wrapText="1"/>
    </xf>
    <xf borderId="5" fillId="7" fontId="15" numFmtId="10" xfId="0" applyAlignment="1" applyBorder="1" applyFont="1" applyNumberFormat="1">
      <alignment horizontal="center" vertical="center"/>
    </xf>
    <xf borderId="5" fillId="7" fontId="15" numFmtId="164" xfId="0" applyAlignment="1" applyBorder="1" applyFont="1" applyNumberFormat="1">
      <alignment horizontal="center" vertical="center"/>
    </xf>
    <xf borderId="5" fillId="7" fontId="15" numFmtId="169" xfId="0" applyAlignment="1" applyBorder="1" applyFont="1" applyNumberForma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10" Type="http://schemas.openxmlformats.org/officeDocument/2006/relationships/worksheet" Target="worksheets/sheet6.xml"/><Relationship Id="rId9" Type="http://schemas.openxmlformats.org/officeDocument/2006/relationships/worksheet" Target="worksheets/sheet5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Relationship Id="rId8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2.0"/>
    <col customWidth="1" min="2" max="10" width="14.0"/>
    <col customWidth="1" min="11" max="11" width="2.0"/>
    <col customWidth="1" min="12" max="26" width="8.71"/>
  </cols>
  <sheetData>
    <row r="1" ht="7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ht="7.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ht="55.5" customHeight="1">
      <c r="A3" s="1"/>
      <c r="B3" s="2" t="s">
        <v>0</v>
      </c>
      <c r="C3" s="3"/>
      <c r="D3" s="3"/>
      <c r="E3" s="3"/>
      <c r="F3" s="3"/>
      <c r="G3" s="3"/>
      <c r="H3" s="3"/>
      <c r="I3" s="3"/>
      <c r="J3" s="4"/>
      <c r="K3" s="1"/>
    </row>
    <row r="4" ht="25.5" customHeight="1">
      <c r="A4" s="1"/>
      <c r="B4" s="5" t="s">
        <v>1</v>
      </c>
      <c r="C4" s="3"/>
      <c r="D4" s="3"/>
      <c r="E4" s="3"/>
      <c r="F4" s="3"/>
      <c r="G4" s="3"/>
      <c r="H4" s="3"/>
      <c r="I4" s="3"/>
      <c r="J4" s="4"/>
      <c r="K4" s="1"/>
    </row>
    <row r="5" ht="19.5" customHeight="1">
      <c r="A5" s="1"/>
      <c r="B5" s="6" t="s">
        <v>2</v>
      </c>
      <c r="C5" s="3"/>
      <c r="D5" s="3"/>
      <c r="E5" s="3"/>
      <c r="F5" s="3"/>
      <c r="G5" s="3"/>
      <c r="H5" s="3"/>
      <c r="I5" s="3"/>
      <c r="J5" s="4"/>
      <c r="K5" s="1"/>
    </row>
    <row r="6" ht="4.5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</row>
    <row r="7" ht="6.0" customHeight="1">
      <c r="A7" s="8"/>
      <c r="B7" s="8"/>
      <c r="C7" s="8"/>
      <c r="D7" s="8"/>
      <c r="E7" s="8"/>
      <c r="F7" s="8"/>
      <c r="G7" s="8"/>
      <c r="H7" s="8"/>
      <c r="I7" s="8"/>
      <c r="J7" s="8"/>
      <c r="K7" s="8"/>
    </row>
    <row r="8" ht="30.0" customHeight="1">
      <c r="B8" s="9" t="s">
        <v>3</v>
      </c>
      <c r="C8" s="3"/>
      <c r="D8" s="3"/>
      <c r="E8" s="3"/>
      <c r="F8" s="3"/>
      <c r="G8" s="3"/>
      <c r="H8" s="3"/>
      <c r="I8" s="3"/>
      <c r="J8" s="4"/>
    </row>
    <row r="9" ht="24.0" customHeight="1">
      <c r="A9" s="10"/>
      <c r="B9" s="11" t="s">
        <v>4</v>
      </c>
      <c r="C9" s="12" t="s">
        <v>5</v>
      </c>
      <c r="D9" s="3"/>
      <c r="E9" s="4"/>
      <c r="F9" s="13" t="s">
        <v>6</v>
      </c>
      <c r="G9" s="3"/>
      <c r="H9" s="3"/>
      <c r="I9" s="3"/>
      <c r="J9" s="4"/>
      <c r="K9" s="10"/>
    </row>
    <row r="10" ht="3.75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</row>
    <row r="11" ht="24.0" customHeight="1">
      <c r="A11" s="14"/>
      <c r="B11" s="15" t="s">
        <v>7</v>
      </c>
      <c r="C11" s="16" t="s">
        <v>8</v>
      </c>
      <c r="D11" s="3"/>
      <c r="E11" s="4"/>
      <c r="F11" s="17" t="s">
        <v>9</v>
      </c>
      <c r="G11" s="3"/>
      <c r="H11" s="3"/>
      <c r="I11" s="3"/>
      <c r="J11" s="4"/>
      <c r="K11" s="14"/>
    </row>
    <row r="12" ht="3.75" customHeight="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</row>
    <row r="13" ht="24.0" customHeight="1">
      <c r="A13" s="10"/>
      <c r="B13" s="11" t="s">
        <v>10</v>
      </c>
      <c r="C13" s="12" t="s">
        <v>11</v>
      </c>
      <c r="D13" s="3"/>
      <c r="E13" s="4"/>
      <c r="F13" s="13" t="s">
        <v>12</v>
      </c>
      <c r="G13" s="3"/>
      <c r="H13" s="3"/>
      <c r="I13" s="3"/>
      <c r="J13" s="4"/>
      <c r="K13" s="10"/>
    </row>
    <row r="14" ht="3.75" customHeight="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</row>
    <row r="15" ht="24.0" customHeight="1">
      <c r="A15" s="14"/>
      <c r="B15" s="15" t="s">
        <v>13</v>
      </c>
      <c r="C15" s="16" t="s">
        <v>14</v>
      </c>
      <c r="D15" s="3"/>
      <c r="E15" s="4"/>
      <c r="F15" s="17" t="s">
        <v>15</v>
      </c>
      <c r="G15" s="3"/>
      <c r="H15" s="3"/>
      <c r="I15" s="3"/>
      <c r="J15" s="4"/>
      <c r="K15" s="14"/>
    </row>
    <row r="16" ht="3.75" customHeight="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</row>
    <row r="17" ht="24.0" customHeight="1">
      <c r="A17" s="10"/>
      <c r="B17" s="11" t="s">
        <v>16</v>
      </c>
      <c r="C17" s="12" t="s">
        <v>17</v>
      </c>
      <c r="D17" s="3"/>
      <c r="E17" s="4"/>
      <c r="F17" s="13" t="s">
        <v>18</v>
      </c>
      <c r="G17" s="3"/>
      <c r="H17" s="3"/>
      <c r="I17" s="3"/>
      <c r="J17" s="4"/>
      <c r="K17" s="10"/>
    </row>
    <row r="18" ht="3.75" customHeight="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</row>
    <row r="19" ht="24.0" customHeight="1">
      <c r="A19" s="14"/>
      <c r="B19" s="15" t="s">
        <v>19</v>
      </c>
      <c r="C19" s="16" t="s">
        <v>20</v>
      </c>
      <c r="D19" s="3"/>
      <c r="E19" s="4"/>
      <c r="F19" s="17" t="s">
        <v>21</v>
      </c>
      <c r="G19" s="3"/>
      <c r="H19" s="3"/>
      <c r="I19" s="3"/>
      <c r="J19" s="4"/>
      <c r="K19" s="14"/>
    </row>
    <row r="20" ht="3.75" customHeight="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ht="24.0" customHeight="1">
      <c r="A21" s="10"/>
      <c r="B21" s="11" t="s">
        <v>22</v>
      </c>
      <c r="C21" s="12" t="s">
        <v>23</v>
      </c>
      <c r="D21" s="3"/>
      <c r="E21" s="4"/>
      <c r="F21" s="13" t="s">
        <v>24</v>
      </c>
      <c r="G21" s="3"/>
      <c r="H21" s="3"/>
      <c r="I21" s="3"/>
      <c r="J21" s="4"/>
      <c r="K21" s="10"/>
    </row>
    <row r="22" ht="3.75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</row>
    <row r="23" ht="24.0" customHeight="1">
      <c r="A23" s="14"/>
      <c r="B23" s="15" t="s">
        <v>25</v>
      </c>
      <c r="C23" s="16" t="s">
        <v>26</v>
      </c>
      <c r="D23" s="3"/>
      <c r="E23" s="4"/>
      <c r="F23" s="17" t="s">
        <v>27</v>
      </c>
      <c r="G23" s="3"/>
      <c r="H23" s="3"/>
      <c r="I23" s="3"/>
      <c r="J23" s="4"/>
      <c r="K23" s="14"/>
    </row>
    <row r="24" ht="3.75" customHeight="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</row>
    <row r="25" ht="15.75" customHeight="1"/>
    <row r="26" ht="4.5" customHeight="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</row>
    <row r="27" ht="30.0" customHeight="1">
      <c r="B27" s="18" t="s">
        <v>28</v>
      </c>
      <c r="C27" s="3"/>
      <c r="D27" s="3"/>
      <c r="E27" s="3"/>
      <c r="F27" s="3"/>
      <c r="G27" s="3"/>
      <c r="H27" s="3"/>
      <c r="I27" s="3"/>
      <c r="J27" s="4"/>
    </row>
    <row r="28" ht="24.0" customHeight="1">
      <c r="A28" s="10"/>
      <c r="B28" s="19" t="s">
        <v>29</v>
      </c>
      <c r="C28" s="3"/>
      <c r="D28" s="3"/>
      <c r="E28" s="4"/>
      <c r="F28" s="20" t="s">
        <v>30</v>
      </c>
      <c r="G28" s="3"/>
      <c r="H28" s="3"/>
      <c r="I28" s="3"/>
      <c r="J28" s="4"/>
      <c r="K28" s="10"/>
    </row>
    <row r="29" ht="24.0" customHeight="1">
      <c r="A29" s="14"/>
      <c r="B29" s="21" t="s">
        <v>31</v>
      </c>
      <c r="C29" s="3"/>
      <c r="D29" s="3"/>
      <c r="E29" s="4"/>
      <c r="F29" s="22" t="s">
        <v>32</v>
      </c>
      <c r="G29" s="3"/>
      <c r="H29" s="3"/>
      <c r="I29" s="3"/>
      <c r="J29" s="4"/>
      <c r="K29" s="14"/>
    </row>
    <row r="30" ht="24.0" customHeight="1">
      <c r="A30" s="10"/>
      <c r="B30" s="19" t="s">
        <v>33</v>
      </c>
      <c r="C30" s="3"/>
      <c r="D30" s="3"/>
      <c r="E30" s="4"/>
      <c r="F30" s="20" t="s">
        <v>34</v>
      </c>
      <c r="G30" s="3"/>
      <c r="H30" s="3"/>
      <c r="I30" s="3"/>
      <c r="J30" s="4"/>
      <c r="K30" s="10"/>
    </row>
    <row r="31" ht="24.0" customHeight="1">
      <c r="A31" s="14"/>
      <c r="B31" s="21" t="s">
        <v>35</v>
      </c>
      <c r="C31" s="3"/>
      <c r="D31" s="3"/>
      <c r="E31" s="4"/>
      <c r="F31" s="22" t="s">
        <v>36</v>
      </c>
      <c r="G31" s="3"/>
      <c r="H31" s="3"/>
      <c r="I31" s="3"/>
      <c r="J31" s="4"/>
      <c r="K31" s="14"/>
    </row>
    <row r="32" ht="15.75" customHeight="1"/>
    <row r="33" ht="4.5" customHeight="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</row>
    <row r="34" ht="19.5" customHeight="1">
      <c r="A34" s="23" t="s">
        <v>37</v>
      </c>
      <c r="B34" s="3"/>
      <c r="C34" s="3"/>
      <c r="D34" s="3"/>
      <c r="E34" s="3"/>
      <c r="F34" s="3"/>
      <c r="G34" s="3"/>
      <c r="H34" s="3"/>
      <c r="I34" s="3"/>
      <c r="J34" s="3"/>
      <c r="K34" s="4"/>
    </row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0">
    <mergeCell ref="B3:J3"/>
    <mergeCell ref="B4:J4"/>
    <mergeCell ref="B5:J5"/>
    <mergeCell ref="B8:J8"/>
    <mergeCell ref="C9:E9"/>
    <mergeCell ref="F9:J9"/>
    <mergeCell ref="F11:J11"/>
    <mergeCell ref="C11:E11"/>
    <mergeCell ref="C13:E13"/>
    <mergeCell ref="F13:J13"/>
    <mergeCell ref="C15:E15"/>
    <mergeCell ref="F15:J15"/>
    <mergeCell ref="C17:E17"/>
    <mergeCell ref="F17:J17"/>
    <mergeCell ref="C19:E19"/>
    <mergeCell ref="F19:J19"/>
    <mergeCell ref="C21:E21"/>
    <mergeCell ref="F21:J21"/>
    <mergeCell ref="C23:E23"/>
    <mergeCell ref="F23:J23"/>
    <mergeCell ref="B27:J27"/>
    <mergeCell ref="F31:J31"/>
    <mergeCell ref="A34:K34"/>
    <mergeCell ref="B28:E28"/>
    <mergeCell ref="F28:J28"/>
    <mergeCell ref="B29:E29"/>
    <mergeCell ref="F29:J29"/>
    <mergeCell ref="B30:E30"/>
    <mergeCell ref="F30:J30"/>
    <mergeCell ref="B31:E31"/>
  </mergeCells>
  <printOptions/>
  <pageMargins bottom="1.0" footer="0.0" header="0.0" left="0.75" right="0.75" top="1.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3.0" topLeftCell="A4" activePane="bottomLeft" state="frozen"/>
      <selection activeCell="B5" sqref="B5" pane="bottomLeft"/>
    </sheetView>
  </sheetViews>
  <sheetFormatPr customHeight="1" defaultColWidth="14.43" defaultRowHeight="15.0"/>
  <cols>
    <col customWidth="1" min="1" max="1" width="30.0"/>
    <col customWidth="1" min="2" max="2" width="4.0"/>
    <col customWidth="1" min="3" max="3" width="18.0"/>
    <col customWidth="1" min="4" max="4" width="13.71"/>
    <col customWidth="1" min="5" max="5" width="26.0"/>
    <col customWidth="1" min="6" max="6" width="4.0"/>
    <col customWidth="1" min="7" max="7" width="29.57"/>
    <col customWidth="1" min="8" max="8" width="10.0"/>
    <col customWidth="1" min="9" max="26" width="8.71"/>
  </cols>
  <sheetData>
    <row r="1" ht="39.75" customHeight="1">
      <c r="A1" s="24" t="s">
        <v>38</v>
      </c>
      <c r="B1" s="3"/>
      <c r="C1" s="3"/>
      <c r="D1" s="3"/>
      <c r="E1" s="3"/>
      <c r="F1" s="3"/>
      <c r="G1" s="3"/>
      <c r="H1" s="4"/>
    </row>
    <row r="2" ht="4.5" customHeight="1">
      <c r="A2" s="25"/>
      <c r="B2" s="3"/>
      <c r="C2" s="3"/>
      <c r="D2" s="3"/>
      <c r="E2" s="3"/>
      <c r="F2" s="3"/>
      <c r="G2" s="3"/>
      <c r="H2" s="4"/>
    </row>
    <row r="3" ht="21.75" customHeight="1">
      <c r="A3" s="26" t="s">
        <v>39</v>
      </c>
      <c r="B3" s="3"/>
      <c r="C3" s="3"/>
      <c r="D3" s="3"/>
      <c r="E3" s="3"/>
      <c r="F3" s="3"/>
      <c r="G3" s="3"/>
      <c r="H3" s="4"/>
    </row>
    <row r="4" ht="27.75" customHeight="1">
      <c r="A4" s="27" t="s">
        <v>40</v>
      </c>
      <c r="B4" s="3"/>
      <c r="C4" s="3"/>
      <c r="D4" s="3"/>
      <c r="E4" s="3"/>
      <c r="F4" s="3"/>
      <c r="G4" s="3"/>
      <c r="H4" s="4"/>
    </row>
    <row r="5" ht="27.75" customHeight="1">
      <c r="A5" s="28" t="s">
        <v>41</v>
      </c>
      <c r="B5" s="29"/>
      <c r="C5" s="30" t="s">
        <v>42</v>
      </c>
      <c r="D5" s="14"/>
      <c r="E5" s="28" t="s">
        <v>43</v>
      </c>
      <c r="F5" s="29"/>
      <c r="G5" s="30" t="s">
        <v>44</v>
      </c>
      <c r="H5" s="14"/>
    </row>
    <row r="6" ht="27.75" customHeight="1">
      <c r="A6" s="28" t="s">
        <v>45</v>
      </c>
      <c r="B6" s="29"/>
      <c r="C6" s="30" t="s">
        <v>46</v>
      </c>
      <c r="D6" s="14"/>
      <c r="E6" s="28" t="s">
        <v>47</v>
      </c>
      <c r="F6" s="29"/>
      <c r="G6" s="30" t="s">
        <v>48</v>
      </c>
      <c r="H6" s="14"/>
    </row>
    <row r="7" ht="27.75" customHeight="1">
      <c r="A7" s="28" t="s">
        <v>49</v>
      </c>
      <c r="B7" s="29"/>
      <c r="C7" s="30" t="s">
        <v>50</v>
      </c>
      <c r="D7" s="14"/>
      <c r="E7" s="28" t="s">
        <v>51</v>
      </c>
      <c r="F7" s="29"/>
      <c r="G7" s="31">
        <v>30.0</v>
      </c>
      <c r="H7" s="14"/>
    </row>
    <row r="8" ht="27.75" customHeight="1">
      <c r="A8" s="28" t="s">
        <v>52</v>
      </c>
      <c r="B8" s="29"/>
      <c r="C8" s="32">
        <v>5000.0</v>
      </c>
      <c r="D8" s="14"/>
      <c r="E8" s="28" t="s">
        <v>53</v>
      </c>
      <c r="F8" s="29"/>
      <c r="G8" s="33" t="s">
        <v>54</v>
      </c>
      <c r="H8" s="14"/>
    </row>
    <row r="9" ht="4.5" customHeight="1">
      <c r="A9" s="25"/>
      <c r="B9" s="3"/>
      <c r="C9" s="3"/>
      <c r="D9" s="3"/>
      <c r="E9" s="3"/>
      <c r="F9" s="3"/>
      <c r="G9" s="3"/>
      <c r="H9" s="4"/>
    </row>
    <row r="10" ht="27.75" customHeight="1">
      <c r="A10" s="27" t="s">
        <v>55</v>
      </c>
      <c r="B10" s="3"/>
      <c r="C10" s="3"/>
      <c r="D10" s="3"/>
      <c r="E10" s="3"/>
      <c r="F10" s="3"/>
      <c r="G10" s="3"/>
      <c r="H10" s="4"/>
    </row>
    <row r="11" ht="19.5" customHeight="1">
      <c r="A11" s="34" t="s">
        <v>56</v>
      </c>
      <c r="B11" s="3"/>
      <c r="C11" s="3"/>
      <c r="D11" s="3"/>
      <c r="E11" s="3"/>
      <c r="F11" s="3"/>
      <c r="G11" s="3"/>
      <c r="H11" s="4"/>
    </row>
    <row r="12" ht="27.75" customHeight="1">
      <c r="A12" s="28" t="s">
        <v>57</v>
      </c>
      <c r="B12" s="29"/>
      <c r="C12" s="32">
        <v>2.5</v>
      </c>
      <c r="D12" s="14"/>
      <c r="E12" s="28" t="s">
        <v>58</v>
      </c>
      <c r="F12" s="29"/>
      <c r="G12" s="33">
        <v>7.0</v>
      </c>
      <c r="H12" s="14"/>
    </row>
    <row r="13" ht="27.75" customHeight="1">
      <c r="A13" s="28" t="s">
        <v>59</v>
      </c>
      <c r="B13" s="29"/>
      <c r="C13" s="32">
        <v>3.5</v>
      </c>
      <c r="D13" s="14"/>
      <c r="E13" s="28" t="s">
        <v>60</v>
      </c>
      <c r="F13" s="29"/>
      <c r="G13" s="33">
        <v>3.0</v>
      </c>
      <c r="H13" s="14"/>
    </row>
    <row r="14" ht="27.75" customHeight="1">
      <c r="A14" s="28" t="s">
        <v>61</v>
      </c>
      <c r="B14" s="29"/>
      <c r="C14" s="35">
        <f>C12*((11-G12)/10)</f>
        <v>1</v>
      </c>
      <c r="D14" s="14"/>
      <c r="E14" s="36" t="s">
        <v>62</v>
      </c>
      <c r="F14" s="37"/>
      <c r="G14" s="35">
        <f>C13-C12*((11-G12)/10)</f>
        <v>2.5</v>
      </c>
      <c r="H14" s="14"/>
    </row>
    <row r="15" ht="27.75" customHeight="1">
      <c r="A15" s="28" t="s">
        <v>63</v>
      </c>
      <c r="B15" s="29"/>
      <c r="C15" s="38">
        <f>G12*C13</f>
        <v>24.5</v>
      </c>
      <c r="D15" s="14"/>
      <c r="E15" s="36" t="s">
        <v>64</v>
      </c>
      <c r="F15" s="37"/>
      <c r="G15" s="39">
        <f>MIN(1,G12/10*0.9)</f>
        <v>0.63</v>
      </c>
      <c r="H15" s="14"/>
    </row>
    <row r="16" ht="4.5" customHeight="1">
      <c r="A16" s="25"/>
      <c r="B16" s="3"/>
      <c r="C16" s="3"/>
      <c r="D16" s="3"/>
      <c r="E16" s="3"/>
      <c r="F16" s="3"/>
      <c r="G16" s="3"/>
      <c r="H16" s="4"/>
    </row>
    <row r="17" ht="27.75" customHeight="1">
      <c r="A17" s="27" t="s">
        <v>65</v>
      </c>
      <c r="B17" s="3"/>
      <c r="C17" s="3"/>
      <c r="D17" s="3"/>
      <c r="E17" s="3"/>
      <c r="F17" s="3"/>
      <c r="G17" s="3"/>
      <c r="H17" s="4"/>
    </row>
    <row r="18" ht="19.5" customHeight="1">
      <c r="A18" s="34" t="s">
        <v>66</v>
      </c>
      <c r="B18" s="3"/>
      <c r="C18" s="3"/>
      <c r="D18" s="3"/>
      <c r="E18" s="3"/>
      <c r="F18" s="3"/>
      <c r="G18" s="3"/>
      <c r="H18" s="4"/>
    </row>
    <row r="19" ht="27.75" customHeight="1">
      <c r="A19" s="28" t="s">
        <v>67</v>
      </c>
      <c r="B19" s="29"/>
      <c r="C19" s="40" t="str">
        <f>C8/C7</f>
        <v>#VALUE!</v>
      </c>
      <c r="D19" s="14"/>
      <c r="E19" s="36" t="s">
        <v>68</v>
      </c>
      <c r="F19" s="37"/>
      <c r="G19" s="35" t="str">
        <f>(C8/C7)*7</f>
        <v>#VALUE!</v>
      </c>
      <c r="H19" s="14"/>
    </row>
    <row r="20" ht="27.75" customHeight="1">
      <c r="A20" s="28" t="s">
        <v>69</v>
      </c>
      <c r="B20" s="29"/>
      <c r="C20" s="41">
        <f>IFERROR(ROUND(C8/C14,0),0)</f>
        <v>5000</v>
      </c>
      <c r="D20" s="14"/>
      <c r="E20" s="36" t="s">
        <v>70</v>
      </c>
      <c r="F20" s="37"/>
      <c r="G20" s="41">
        <f>IFERROR(ROUND((C8/C7)/C14,0),0)</f>
        <v>0</v>
      </c>
      <c r="H20" s="14"/>
    </row>
    <row r="21" ht="27.75" customHeight="1">
      <c r="A21" s="28" t="s">
        <v>71</v>
      </c>
      <c r="B21" s="29"/>
      <c r="C21" s="41">
        <f>IFERROR(ROUND(C8/C14/0.05,0),0)</f>
        <v>100000</v>
      </c>
      <c r="D21" s="14"/>
      <c r="E21" s="36" t="s">
        <v>72</v>
      </c>
      <c r="F21" s="37"/>
      <c r="G21" s="41">
        <f>IFERROR(ROUND((C8/C7)/C14/0.05,0),0)</f>
        <v>0</v>
      </c>
      <c r="H21" s="14"/>
    </row>
    <row r="22" ht="27.75" customHeight="1">
      <c r="A22" s="28" t="s">
        <v>73</v>
      </c>
      <c r="B22" s="29"/>
      <c r="C22" s="35">
        <f>IFERROR(C14*0.05*1000,0)</f>
        <v>50</v>
      </c>
      <c r="D22" s="14"/>
      <c r="E22" s="36" t="s">
        <v>74</v>
      </c>
      <c r="F22" s="37"/>
      <c r="G22" s="42">
        <f>5%</f>
        <v>0.05</v>
      </c>
      <c r="H22" s="14"/>
    </row>
    <row r="23" ht="4.5" customHeight="1">
      <c r="A23" s="25"/>
      <c r="B23" s="3"/>
      <c r="C23" s="3"/>
      <c r="D23" s="3"/>
      <c r="E23" s="3"/>
      <c r="F23" s="3"/>
      <c r="G23" s="3"/>
      <c r="H23" s="4"/>
    </row>
    <row r="24" ht="27.75" customHeight="1">
      <c r="A24" s="27" t="s">
        <v>75</v>
      </c>
      <c r="B24" s="3"/>
      <c r="C24" s="3"/>
      <c r="D24" s="3"/>
      <c r="E24" s="3"/>
      <c r="F24" s="3"/>
      <c r="G24" s="3"/>
      <c r="H24" s="4"/>
    </row>
    <row r="25" ht="19.5" customHeight="1">
      <c r="A25" s="34" t="s">
        <v>76</v>
      </c>
      <c r="B25" s="3"/>
      <c r="C25" s="3"/>
      <c r="D25" s="3"/>
      <c r="E25" s="3"/>
      <c r="F25" s="3"/>
      <c r="G25" s="3"/>
      <c r="H25" s="4"/>
    </row>
    <row r="26" ht="27.75" customHeight="1">
      <c r="A26" s="28" t="s">
        <v>77</v>
      </c>
      <c r="B26" s="29"/>
      <c r="C26" s="43">
        <v>0.03</v>
      </c>
      <c r="D26" s="14"/>
      <c r="E26" s="28" t="s">
        <v>78</v>
      </c>
      <c r="F26" s="29"/>
      <c r="G26" s="32">
        <v>150.0</v>
      </c>
      <c r="H26" s="14"/>
    </row>
    <row r="27" ht="27.75" customHeight="1">
      <c r="A27" s="28" t="s">
        <v>79</v>
      </c>
      <c r="B27" s="29"/>
      <c r="C27" s="32">
        <v>50.0</v>
      </c>
      <c r="D27" s="14"/>
      <c r="E27" s="28" t="s">
        <v>80</v>
      </c>
      <c r="F27" s="29"/>
      <c r="G27" s="32">
        <v>80.0</v>
      </c>
      <c r="H27" s="14"/>
    </row>
    <row r="28" ht="27.75" customHeight="1">
      <c r="A28" s="28" t="s">
        <v>81</v>
      </c>
      <c r="B28" s="29"/>
      <c r="C28" s="44">
        <f>ROUND(C20*C26,1)</f>
        <v>150</v>
      </c>
      <c r="D28" s="14"/>
      <c r="E28" s="36" t="s">
        <v>82</v>
      </c>
      <c r="F28" s="37"/>
      <c r="G28" s="44" t="str">
        <f>ROUND((C8/C7)/C14*C26,1)</f>
        <v>#VALUE!</v>
      </c>
      <c r="H28" s="14"/>
    </row>
    <row r="29" ht="27.75" customHeight="1">
      <c r="A29" s="28" t="s">
        <v>83</v>
      </c>
      <c r="B29" s="29"/>
      <c r="C29" s="35">
        <f>IFERROR(C8/(C20*C26),0)</f>
        <v>33.33333333</v>
      </c>
      <c r="D29" s="14"/>
      <c r="E29" s="36" t="s">
        <v>84</v>
      </c>
      <c r="F29" s="37"/>
      <c r="G29" s="35">
        <f>C20*C26*G26</f>
        <v>22500</v>
      </c>
      <c r="H29" s="14"/>
    </row>
    <row r="30" ht="27.75" customHeight="1">
      <c r="A30" s="28" t="s">
        <v>85</v>
      </c>
      <c r="B30" s="29"/>
      <c r="C30" s="35">
        <f>C20*C26*(G26-C27)</f>
        <v>15000</v>
      </c>
      <c r="D30" s="14"/>
      <c r="E30" s="36" t="s">
        <v>86</v>
      </c>
      <c r="F30" s="37"/>
      <c r="G30" s="35">
        <f>C20*C26*(G26-C27)-C8</f>
        <v>10000</v>
      </c>
      <c r="H30" s="14"/>
    </row>
    <row r="31" ht="27.75" customHeight="1">
      <c r="A31" s="28" t="s">
        <v>87</v>
      </c>
      <c r="B31" s="29"/>
      <c r="C31" s="45" t="str">
        <f>IF(IFERROR(C8/(C20*C26),0)&lt;=G27,"✅ Under Target","⚠️ Over Target")</f>
        <v>✅ Under Target</v>
      </c>
      <c r="D31" s="14"/>
      <c r="E31" s="36" t="s">
        <v>88</v>
      </c>
      <c r="F31" s="37"/>
      <c r="G31" s="42">
        <f>IFERROR((G26-C27)/G26,0)</f>
        <v>0.6666666667</v>
      </c>
      <c r="H31" s="14"/>
    </row>
    <row r="32" ht="4.5" customHeight="1">
      <c r="A32" s="25"/>
      <c r="B32" s="3"/>
      <c r="C32" s="3"/>
      <c r="D32" s="3"/>
      <c r="E32" s="3"/>
      <c r="F32" s="3"/>
      <c r="G32" s="3"/>
      <c r="H32" s="4"/>
    </row>
    <row r="33" ht="27.75" customHeight="1">
      <c r="A33" s="27" t="s">
        <v>89</v>
      </c>
      <c r="B33" s="3"/>
      <c r="C33" s="3"/>
      <c r="D33" s="3"/>
      <c r="E33" s="3"/>
      <c r="F33" s="3"/>
      <c r="G33" s="3"/>
      <c r="H33" s="4"/>
    </row>
    <row r="34" ht="27.75" customHeight="1">
      <c r="A34" s="46" t="s">
        <v>90</v>
      </c>
      <c r="B34" s="29"/>
      <c r="C34" s="47">
        <v>3.0</v>
      </c>
      <c r="D34" s="14"/>
      <c r="E34" s="48" t="s">
        <v>91</v>
      </c>
      <c r="F34" s="37"/>
      <c r="G34" s="49">
        <f>IFERROR(1/(G31),0)</f>
        <v>1.5</v>
      </c>
      <c r="H34" s="14"/>
    </row>
    <row r="35" ht="27.75" customHeight="1">
      <c r="A35" s="28" t="s">
        <v>92</v>
      </c>
      <c r="B35" s="29"/>
      <c r="C35" s="49">
        <f>IFERROR(G29/C8,0)</f>
        <v>4.5</v>
      </c>
      <c r="D35" s="14"/>
      <c r="E35" s="36" t="s">
        <v>93</v>
      </c>
      <c r="F35" s="37"/>
      <c r="G35" s="45" t="str">
        <f>IF(IFERROR(G29/C8,0)&gt;=C34,"✅ On Target","⚠️ Below Target")</f>
        <v>✅ On Target</v>
      </c>
      <c r="H35" s="14"/>
    </row>
    <row r="36" ht="27.75" customHeight="1">
      <c r="A36" s="28" t="s">
        <v>94</v>
      </c>
      <c r="B36" s="29"/>
      <c r="C36" s="50">
        <f>IFERROR((G30/C8)*100,0)</f>
        <v>200</v>
      </c>
      <c r="D36" s="14"/>
      <c r="E36" s="36" t="s">
        <v>95</v>
      </c>
      <c r="F36" s="37"/>
      <c r="G36" s="45" t="str">
        <f>IF(G30&gt;0,"✅ PROFITABLE","⚠️ LOSS-MAKING")</f>
        <v>✅ PROFITABLE</v>
      </c>
      <c r="H36" s="14"/>
    </row>
    <row r="37" ht="27.75" customHeight="1">
      <c r="A37" s="28" t="s">
        <v>96</v>
      </c>
      <c r="B37" s="29"/>
      <c r="C37" s="35">
        <f>C8</f>
        <v>5000</v>
      </c>
      <c r="D37" s="14"/>
      <c r="E37" s="36" t="s">
        <v>97</v>
      </c>
      <c r="F37" s="37"/>
      <c r="G37" s="35">
        <f>G30</f>
        <v>10000</v>
      </c>
      <c r="H37" s="14"/>
    </row>
    <row r="38" ht="3.75" customHeight="1">
      <c r="A38" s="51"/>
      <c r="B38" s="3"/>
      <c r="C38" s="3"/>
      <c r="D38" s="3"/>
      <c r="E38" s="3"/>
      <c r="F38" s="3"/>
      <c r="G38" s="3"/>
      <c r="H38" s="4"/>
    </row>
    <row r="39" ht="33.75" customHeight="1">
      <c r="A39" s="52" t="str">
        <f>IF(G30&gt;0,"✅  PROFITABLE — Net Profit: $"&amp;TEXT(G30,"#,##0.00")&amp;"  |  ROAS: "&amp;TEXT(IFERROR(G29/C8,0),"0.00")&amp;"x  |  ROI: "&amp;TEXT(IFERROR((G30/C8)*100,0),"0.0")&amp;"%","⚠️  REVIEW NEEDED — Net Loss: $"&amp;TEXT(ABS(G30),"#,##0.00")&amp;" — Adjust your CPC, CVR, Value or Budget inputs above")</f>
        <v>✅  PROFITABLE — Net Profit: $10,000.00  |  ROAS: 4.50x  |  ROI: 200.0%</v>
      </c>
      <c r="B39" s="3"/>
      <c r="C39" s="3"/>
      <c r="D39" s="3"/>
      <c r="E39" s="3"/>
      <c r="F39" s="3"/>
      <c r="G39" s="3"/>
      <c r="H39" s="4"/>
    </row>
    <row r="40" ht="15.75" customHeight="1"/>
    <row r="41" ht="4.5" customHeight="1">
      <c r="A41" s="25"/>
      <c r="B41" s="3"/>
      <c r="C41" s="3"/>
      <c r="D41" s="3"/>
      <c r="E41" s="3"/>
      <c r="F41" s="3"/>
      <c r="G41" s="3"/>
      <c r="H41" s="4"/>
    </row>
    <row r="42" ht="18.0" customHeight="1">
      <c r="A42" s="23" t="s">
        <v>98</v>
      </c>
      <c r="B42" s="3"/>
      <c r="C42" s="3"/>
      <c r="D42" s="3"/>
      <c r="E42" s="3"/>
      <c r="F42" s="3"/>
      <c r="G42" s="3"/>
      <c r="H42" s="4"/>
    </row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9">
    <mergeCell ref="A1:H1"/>
    <mergeCell ref="A2:H2"/>
    <mergeCell ref="A3:H3"/>
    <mergeCell ref="A4:H4"/>
    <mergeCell ref="A9:H9"/>
    <mergeCell ref="A10:H10"/>
    <mergeCell ref="A11:H11"/>
    <mergeCell ref="A33:H33"/>
    <mergeCell ref="A38:H38"/>
    <mergeCell ref="A39:H39"/>
    <mergeCell ref="A41:H41"/>
    <mergeCell ref="A42:H42"/>
    <mergeCell ref="A16:H16"/>
    <mergeCell ref="A17:H17"/>
    <mergeCell ref="A18:H18"/>
    <mergeCell ref="A23:H23"/>
    <mergeCell ref="A24:H24"/>
    <mergeCell ref="A25:H25"/>
    <mergeCell ref="A32:H32"/>
  </mergeCells>
  <printOptions/>
  <pageMargins bottom="1.0" footer="0.0" header="0.0" left="0.75" right="0.75" top="1.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32.0"/>
    <col customWidth="1" min="2" max="3" width="14.0"/>
    <col customWidth="1" min="4" max="4" width="12.0"/>
    <col customWidth="1" min="5" max="5" width="13.0"/>
    <col customWidth="1" min="6" max="6" width="12.0"/>
    <col customWidth="1" min="7" max="7" width="14.0"/>
    <col customWidth="1" min="8" max="8" width="15.0"/>
    <col customWidth="1" min="9" max="10" width="14.0"/>
    <col customWidth="1" min="11" max="26" width="8.71"/>
  </cols>
  <sheetData>
    <row r="1" ht="39.75" customHeight="1">
      <c r="A1" s="24" t="s">
        <v>99</v>
      </c>
      <c r="B1" s="3"/>
      <c r="C1" s="3"/>
      <c r="D1" s="3"/>
      <c r="E1" s="3"/>
      <c r="F1" s="3"/>
      <c r="G1" s="3"/>
      <c r="H1" s="3"/>
      <c r="I1" s="3"/>
      <c r="J1" s="4"/>
    </row>
    <row r="2" ht="4.5" customHeight="1">
      <c r="A2" s="25"/>
      <c r="B2" s="3"/>
      <c r="C2" s="3"/>
      <c r="D2" s="3"/>
      <c r="E2" s="3"/>
      <c r="F2" s="3"/>
      <c r="G2" s="3"/>
      <c r="H2" s="3"/>
      <c r="I2" s="3"/>
      <c r="J2" s="4"/>
    </row>
    <row r="3" ht="19.5" customHeight="1">
      <c r="A3" s="53" t="s">
        <v>100</v>
      </c>
      <c r="B3" s="3"/>
      <c r="C3" s="3"/>
      <c r="D3" s="3"/>
      <c r="E3" s="3"/>
      <c r="F3" s="3"/>
      <c r="G3" s="3"/>
      <c r="H3" s="3"/>
      <c r="I3" s="3"/>
      <c r="J3" s="4"/>
    </row>
    <row r="4" ht="27.75" customHeight="1">
      <c r="A4" s="54" t="s">
        <v>101</v>
      </c>
      <c r="B4" s="55" t="s">
        <v>102</v>
      </c>
      <c r="C4" s="55" t="s">
        <v>103</v>
      </c>
      <c r="D4" s="56" t="s">
        <v>104</v>
      </c>
      <c r="E4" s="55" t="s">
        <v>105</v>
      </c>
      <c r="F4" s="55" t="s">
        <v>106</v>
      </c>
      <c r="G4" s="56" t="s">
        <v>107</v>
      </c>
      <c r="H4" s="56" t="s">
        <v>108</v>
      </c>
      <c r="I4" s="57" t="s">
        <v>109</v>
      </c>
      <c r="J4" s="57" t="s">
        <v>110</v>
      </c>
    </row>
    <row r="5" ht="24.0" customHeight="1">
      <c r="A5" s="58" t="s">
        <v>111</v>
      </c>
      <c r="B5" s="59" t="s">
        <v>112</v>
      </c>
      <c r="C5" s="60">
        <v>1300.0</v>
      </c>
      <c r="D5" s="59" t="s">
        <v>113</v>
      </c>
      <c r="E5" s="61">
        <v>12.5</v>
      </c>
      <c r="F5" s="62">
        <v>0.03</v>
      </c>
      <c r="G5" s="63">
        <f t="shared" ref="G5:G14" si="1">C5*F5</f>
        <v>39</v>
      </c>
      <c r="H5" s="64">
        <f t="shared" ref="H5:H14" si="2">G5*E5</f>
        <v>487.5</v>
      </c>
      <c r="I5" s="65">
        <f t="shared" ref="I5:I14" si="3">G5*0.03</f>
        <v>1.17</v>
      </c>
      <c r="J5" s="59" t="s">
        <v>114</v>
      </c>
    </row>
    <row r="6" ht="24.0" customHeight="1">
      <c r="A6" s="66" t="s">
        <v>115</v>
      </c>
      <c r="B6" s="67" t="s">
        <v>112</v>
      </c>
      <c r="C6" s="68">
        <v>480.0</v>
      </c>
      <c r="D6" s="67" t="s">
        <v>113</v>
      </c>
      <c r="E6" s="69">
        <v>18.0</v>
      </c>
      <c r="F6" s="70">
        <v>0.03</v>
      </c>
      <c r="G6" s="71">
        <f t="shared" si="1"/>
        <v>14.4</v>
      </c>
      <c r="H6" s="72">
        <f t="shared" si="2"/>
        <v>259.2</v>
      </c>
      <c r="I6" s="73">
        <f t="shared" si="3"/>
        <v>0.432</v>
      </c>
      <c r="J6" s="67" t="s">
        <v>116</v>
      </c>
    </row>
    <row r="7" ht="24.0" customHeight="1">
      <c r="A7" s="58" t="s">
        <v>117</v>
      </c>
      <c r="B7" s="59" t="s">
        <v>118</v>
      </c>
      <c r="C7" s="60">
        <v>2400.0</v>
      </c>
      <c r="D7" s="59" t="s">
        <v>119</v>
      </c>
      <c r="E7" s="61">
        <v>6.2</v>
      </c>
      <c r="F7" s="62">
        <v>0.05</v>
      </c>
      <c r="G7" s="63">
        <f t="shared" si="1"/>
        <v>120</v>
      </c>
      <c r="H7" s="64">
        <f t="shared" si="2"/>
        <v>744</v>
      </c>
      <c r="I7" s="65">
        <f t="shared" si="3"/>
        <v>3.6</v>
      </c>
      <c r="J7" s="59" t="s">
        <v>114</v>
      </c>
    </row>
    <row r="8" ht="24.0" customHeight="1">
      <c r="A8" s="66" t="s">
        <v>120</v>
      </c>
      <c r="B8" s="67" t="s">
        <v>112</v>
      </c>
      <c r="C8" s="68">
        <v>320.0</v>
      </c>
      <c r="D8" s="67" t="s">
        <v>113</v>
      </c>
      <c r="E8" s="69">
        <v>22.0</v>
      </c>
      <c r="F8" s="70">
        <v>0.03</v>
      </c>
      <c r="G8" s="71">
        <f t="shared" si="1"/>
        <v>9.6</v>
      </c>
      <c r="H8" s="72">
        <f t="shared" si="2"/>
        <v>211.2</v>
      </c>
      <c r="I8" s="73">
        <f t="shared" si="3"/>
        <v>0.288</v>
      </c>
      <c r="J8" s="67" t="s">
        <v>116</v>
      </c>
    </row>
    <row r="9" ht="24.0" customHeight="1">
      <c r="A9" s="58" t="s">
        <v>121</v>
      </c>
      <c r="B9" s="59" t="s">
        <v>122</v>
      </c>
      <c r="C9" s="60">
        <v>12100.0</v>
      </c>
      <c r="D9" s="59" t="s">
        <v>113</v>
      </c>
      <c r="E9" s="61">
        <v>9.8</v>
      </c>
      <c r="F9" s="62">
        <v>0.03</v>
      </c>
      <c r="G9" s="63">
        <f t="shared" si="1"/>
        <v>363</v>
      </c>
      <c r="H9" s="64">
        <f t="shared" si="2"/>
        <v>3557.4</v>
      </c>
      <c r="I9" s="65">
        <f t="shared" si="3"/>
        <v>10.89</v>
      </c>
      <c r="J9" s="59" t="s">
        <v>123</v>
      </c>
    </row>
    <row r="10" ht="24.0" customHeight="1">
      <c r="A10" s="66" t="s">
        <v>124</v>
      </c>
      <c r="B10" s="67" t="s">
        <v>118</v>
      </c>
      <c r="C10" s="68">
        <v>880.0</v>
      </c>
      <c r="D10" s="67" t="s">
        <v>119</v>
      </c>
      <c r="E10" s="69">
        <v>14.5</v>
      </c>
      <c r="F10" s="70">
        <v>0.05</v>
      </c>
      <c r="G10" s="71">
        <f t="shared" si="1"/>
        <v>44</v>
      </c>
      <c r="H10" s="72">
        <f t="shared" si="2"/>
        <v>638</v>
      </c>
      <c r="I10" s="73">
        <f t="shared" si="3"/>
        <v>1.32</v>
      </c>
      <c r="J10" s="67" t="s">
        <v>114</v>
      </c>
    </row>
    <row r="11" ht="24.0" customHeight="1">
      <c r="A11" s="58" t="s">
        <v>125</v>
      </c>
      <c r="B11" s="59" t="s">
        <v>112</v>
      </c>
      <c r="C11" s="60">
        <v>590.0</v>
      </c>
      <c r="D11" s="59" t="s">
        <v>119</v>
      </c>
      <c r="E11" s="61">
        <v>11.0</v>
      </c>
      <c r="F11" s="62">
        <v>0.05</v>
      </c>
      <c r="G11" s="63">
        <f t="shared" si="1"/>
        <v>29.5</v>
      </c>
      <c r="H11" s="64">
        <f t="shared" si="2"/>
        <v>324.5</v>
      </c>
      <c r="I11" s="65">
        <f t="shared" si="3"/>
        <v>0.885</v>
      </c>
      <c r="J11" s="59" t="s">
        <v>114</v>
      </c>
    </row>
    <row r="12" ht="24.0" customHeight="1">
      <c r="A12" s="66" t="s">
        <v>126</v>
      </c>
      <c r="B12" s="67" t="s">
        <v>118</v>
      </c>
      <c r="C12" s="68">
        <v>1600.0</v>
      </c>
      <c r="D12" s="67" t="s">
        <v>127</v>
      </c>
      <c r="E12" s="69">
        <v>3.5</v>
      </c>
      <c r="F12" s="70">
        <v>0.08</v>
      </c>
      <c r="G12" s="71">
        <f t="shared" si="1"/>
        <v>128</v>
      </c>
      <c r="H12" s="72">
        <f t="shared" si="2"/>
        <v>448</v>
      </c>
      <c r="I12" s="73">
        <f t="shared" si="3"/>
        <v>3.84</v>
      </c>
      <c r="J12" s="67" t="s">
        <v>116</v>
      </c>
    </row>
    <row r="13" ht="24.0" customHeight="1">
      <c r="A13" s="58" t="s">
        <v>128</v>
      </c>
      <c r="B13" s="59" t="s">
        <v>112</v>
      </c>
      <c r="C13" s="60">
        <v>260.0</v>
      </c>
      <c r="D13" s="59" t="s">
        <v>113</v>
      </c>
      <c r="E13" s="61">
        <v>16.8</v>
      </c>
      <c r="F13" s="62">
        <v>0.03</v>
      </c>
      <c r="G13" s="63">
        <f t="shared" si="1"/>
        <v>7.8</v>
      </c>
      <c r="H13" s="64">
        <f t="shared" si="2"/>
        <v>131.04</v>
      </c>
      <c r="I13" s="65">
        <f t="shared" si="3"/>
        <v>0.234</v>
      </c>
      <c r="J13" s="59" t="s">
        <v>116</v>
      </c>
    </row>
    <row r="14" ht="24.0" customHeight="1">
      <c r="A14" s="66" t="s">
        <v>129</v>
      </c>
      <c r="B14" s="67" t="s">
        <v>118</v>
      </c>
      <c r="C14" s="68">
        <v>1900.0</v>
      </c>
      <c r="D14" s="67" t="s">
        <v>119</v>
      </c>
      <c r="E14" s="69">
        <v>8.4</v>
      </c>
      <c r="F14" s="70">
        <v>0.05</v>
      </c>
      <c r="G14" s="71">
        <f t="shared" si="1"/>
        <v>95</v>
      </c>
      <c r="H14" s="72">
        <f t="shared" si="2"/>
        <v>798</v>
      </c>
      <c r="I14" s="73">
        <f t="shared" si="3"/>
        <v>2.85</v>
      </c>
      <c r="J14" s="67" t="s">
        <v>114</v>
      </c>
    </row>
    <row r="15" ht="27.75" customHeight="1">
      <c r="A15" s="74" t="s">
        <v>130</v>
      </c>
      <c r="B15" s="75"/>
      <c r="C15" s="76">
        <f>SUM(C5:C14)</f>
        <v>21830</v>
      </c>
      <c r="D15" s="75"/>
      <c r="E15" s="77">
        <f t="shared" ref="E15:F15" si="4">AVERAGE(E5:E14)</f>
        <v>12.27</v>
      </c>
      <c r="F15" s="78">
        <f t="shared" si="4"/>
        <v>0.043</v>
      </c>
      <c r="G15" s="76">
        <f t="shared" ref="G15:I15" si="5">SUM(G5:G14)</f>
        <v>850.3</v>
      </c>
      <c r="H15" s="77">
        <f t="shared" si="5"/>
        <v>7598.84</v>
      </c>
      <c r="I15" s="79">
        <f t="shared" si="5"/>
        <v>25.509</v>
      </c>
      <c r="J15" s="75"/>
    </row>
    <row r="16" ht="24.0" customHeight="1">
      <c r="A16" s="80"/>
      <c r="B16" s="81"/>
      <c r="C16" s="81"/>
      <c r="D16" s="81"/>
      <c r="E16" s="81"/>
      <c r="F16" s="81"/>
      <c r="G16" s="82">
        <f t="shared" ref="G16:G25" si="6">C16*F16</f>
        <v>0</v>
      </c>
      <c r="H16" s="83">
        <f t="shared" ref="H16:H25" si="7">G16*E16</f>
        <v>0</v>
      </c>
      <c r="I16" s="84">
        <f t="shared" ref="I16:I25" si="8">G16*0.03</f>
        <v>0</v>
      </c>
      <c r="J16" s="81"/>
    </row>
    <row r="17" ht="24.0" customHeight="1">
      <c r="A17" s="85"/>
      <c r="B17" s="86"/>
      <c r="C17" s="86"/>
      <c r="D17" s="86"/>
      <c r="E17" s="86"/>
      <c r="F17" s="86"/>
      <c r="G17" s="87">
        <f t="shared" si="6"/>
        <v>0</v>
      </c>
      <c r="H17" s="88">
        <f t="shared" si="7"/>
        <v>0</v>
      </c>
      <c r="I17" s="89">
        <f t="shared" si="8"/>
        <v>0</v>
      </c>
      <c r="J17" s="86"/>
    </row>
    <row r="18" ht="24.0" customHeight="1">
      <c r="A18" s="80"/>
      <c r="B18" s="81"/>
      <c r="C18" s="81"/>
      <c r="D18" s="81"/>
      <c r="E18" s="81"/>
      <c r="F18" s="81"/>
      <c r="G18" s="82">
        <f t="shared" si="6"/>
        <v>0</v>
      </c>
      <c r="H18" s="83">
        <f t="shared" si="7"/>
        <v>0</v>
      </c>
      <c r="I18" s="84">
        <f t="shared" si="8"/>
        <v>0</v>
      </c>
      <c r="J18" s="81"/>
    </row>
    <row r="19" ht="24.0" customHeight="1">
      <c r="A19" s="85"/>
      <c r="B19" s="86"/>
      <c r="C19" s="86"/>
      <c r="D19" s="86"/>
      <c r="E19" s="86"/>
      <c r="F19" s="86"/>
      <c r="G19" s="87">
        <f t="shared" si="6"/>
        <v>0</v>
      </c>
      <c r="H19" s="88">
        <f t="shared" si="7"/>
        <v>0</v>
      </c>
      <c r="I19" s="89">
        <f t="shared" si="8"/>
        <v>0</v>
      </c>
      <c r="J19" s="86"/>
    </row>
    <row r="20" ht="24.0" customHeight="1">
      <c r="A20" s="80"/>
      <c r="B20" s="81"/>
      <c r="C20" s="81"/>
      <c r="D20" s="81"/>
      <c r="E20" s="81"/>
      <c r="F20" s="81"/>
      <c r="G20" s="82">
        <f t="shared" si="6"/>
        <v>0</v>
      </c>
      <c r="H20" s="83">
        <f t="shared" si="7"/>
        <v>0</v>
      </c>
      <c r="I20" s="84">
        <f t="shared" si="8"/>
        <v>0</v>
      </c>
      <c r="J20" s="81"/>
    </row>
    <row r="21" ht="24.0" customHeight="1">
      <c r="A21" s="85"/>
      <c r="B21" s="86"/>
      <c r="C21" s="86"/>
      <c r="D21" s="86"/>
      <c r="E21" s="86"/>
      <c r="F21" s="86"/>
      <c r="G21" s="87">
        <f t="shared" si="6"/>
        <v>0</v>
      </c>
      <c r="H21" s="88">
        <f t="shared" si="7"/>
        <v>0</v>
      </c>
      <c r="I21" s="89">
        <f t="shared" si="8"/>
        <v>0</v>
      </c>
      <c r="J21" s="86"/>
    </row>
    <row r="22" ht="24.0" customHeight="1">
      <c r="A22" s="80"/>
      <c r="B22" s="81"/>
      <c r="C22" s="81"/>
      <c r="D22" s="81"/>
      <c r="E22" s="81"/>
      <c r="F22" s="81"/>
      <c r="G22" s="82">
        <f t="shared" si="6"/>
        <v>0</v>
      </c>
      <c r="H22" s="83">
        <f t="shared" si="7"/>
        <v>0</v>
      </c>
      <c r="I22" s="84">
        <f t="shared" si="8"/>
        <v>0</v>
      </c>
      <c r="J22" s="81"/>
    </row>
    <row r="23" ht="24.0" customHeight="1">
      <c r="A23" s="85"/>
      <c r="B23" s="86"/>
      <c r="C23" s="86"/>
      <c r="D23" s="86"/>
      <c r="E23" s="86"/>
      <c r="F23" s="86"/>
      <c r="G23" s="87">
        <f t="shared" si="6"/>
        <v>0</v>
      </c>
      <c r="H23" s="88">
        <f t="shared" si="7"/>
        <v>0</v>
      </c>
      <c r="I23" s="89">
        <f t="shared" si="8"/>
        <v>0</v>
      </c>
      <c r="J23" s="86"/>
    </row>
    <row r="24" ht="24.0" customHeight="1">
      <c r="A24" s="80"/>
      <c r="B24" s="81"/>
      <c r="C24" s="81"/>
      <c r="D24" s="81"/>
      <c r="E24" s="81"/>
      <c r="F24" s="81"/>
      <c r="G24" s="82">
        <f t="shared" si="6"/>
        <v>0</v>
      </c>
      <c r="H24" s="83">
        <f t="shared" si="7"/>
        <v>0</v>
      </c>
      <c r="I24" s="84">
        <f t="shared" si="8"/>
        <v>0</v>
      </c>
      <c r="J24" s="81"/>
    </row>
    <row r="25" ht="24.0" customHeight="1">
      <c r="A25" s="85"/>
      <c r="B25" s="86"/>
      <c r="C25" s="86"/>
      <c r="D25" s="86"/>
      <c r="E25" s="86"/>
      <c r="F25" s="86"/>
      <c r="G25" s="87">
        <f t="shared" si="6"/>
        <v>0</v>
      </c>
      <c r="H25" s="88">
        <f t="shared" si="7"/>
        <v>0</v>
      </c>
      <c r="I25" s="89">
        <f t="shared" si="8"/>
        <v>0</v>
      </c>
      <c r="J25" s="86"/>
    </row>
    <row r="26" ht="15.75" customHeight="1"/>
    <row r="27" ht="4.5" customHeight="1">
      <c r="A27" s="25"/>
      <c r="B27" s="3"/>
      <c r="C27" s="3"/>
      <c r="D27" s="3"/>
      <c r="E27" s="3"/>
      <c r="F27" s="3"/>
      <c r="G27" s="3"/>
      <c r="H27" s="3"/>
      <c r="I27" s="3"/>
      <c r="J27" s="4"/>
    </row>
    <row r="28" ht="18.0" customHeight="1">
      <c r="A28" s="23" t="s">
        <v>98</v>
      </c>
      <c r="B28" s="3"/>
      <c r="C28" s="3"/>
      <c r="D28" s="3"/>
      <c r="E28" s="3"/>
      <c r="F28" s="3"/>
      <c r="G28" s="3"/>
      <c r="H28" s="3"/>
      <c r="I28" s="3"/>
      <c r="J28" s="4"/>
    </row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5">
    <mergeCell ref="A1:J1"/>
    <mergeCell ref="A2:J2"/>
    <mergeCell ref="A3:J3"/>
    <mergeCell ref="A27:J27"/>
    <mergeCell ref="A28:J28"/>
  </mergeCells>
  <dataValidations>
    <dataValidation type="list" allowBlank="1" sqref="B5:B14 B16:B25">
      <formula1>"Broad,Phrase,Exact"</formula1>
    </dataValidation>
    <dataValidation type="list" allowBlank="1" sqref="J5:J14 J16:J25">
      <formula1>"🔴 High,🟡 Medium,🟢 Low,❌ Exclude"</formula1>
    </dataValidation>
    <dataValidation type="list" allowBlank="1" sqref="D5:D14 D16:D25">
      <formula1>"Low,Medium,High"</formula1>
    </dataValidation>
  </dataValidations>
  <printOptions/>
  <pageMargins bottom="1.0" footer="0.0" header="0.0" left="0.75" right="0.75" top="1.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5.0" topLeftCell="A6" activePane="bottomLeft" state="frozen"/>
      <selection activeCell="B7" sqref="B7" pane="bottomLeft"/>
    </sheetView>
  </sheetViews>
  <sheetFormatPr customHeight="1" defaultColWidth="14.43" defaultRowHeight="15.0"/>
  <cols>
    <col customWidth="1" min="1" max="1" width="26.0"/>
    <col customWidth="1" min="2" max="2" width="4.0"/>
    <col customWidth="1" min="3" max="6" width="20.0"/>
    <col customWidth="1" min="7" max="26" width="8.71"/>
  </cols>
  <sheetData>
    <row r="1" ht="39.75" customHeight="1">
      <c r="A1" s="24" t="s">
        <v>131</v>
      </c>
      <c r="B1" s="3"/>
      <c r="C1" s="3"/>
      <c r="D1" s="3"/>
      <c r="E1" s="3"/>
      <c r="F1" s="4"/>
    </row>
    <row r="2" ht="4.5" customHeight="1">
      <c r="A2" s="25"/>
      <c r="B2" s="3"/>
      <c r="C2" s="3"/>
      <c r="D2" s="3"/>
      <c r="E2" s="3"/>
      <c r="F2" s="4"/>
    </row>
    <row r="3" ht="21.75" customHeight="1">
      <c r="A3" s="53" t="s">
        <v>132</v>
      </c>
      <c r="B3" s="3"/>
      <c r="C3" s="3"/>
      <c r="D3" s="3"/>
      <c r="E3" s="3"/>
      <c r="F3" s="4"/>
    </row>
    <row r="4" ht="27.75" customHeight="1">
      <c r="A4" s="90" t="s">
        <v>133</v>
      </c>
      <c r="B4" s="91"/>
      <c r="C4" s="92" t="s">
        <v>134</v>
      </c>
      <c r="D4" s="93" t="s">
        <v>135</v>
      </c>
      <c r="E4" s="92" t="s">
        <v>136</v>
      </c>
      <c r="F4" s="94" t="s">
        <v>137</v>
      </c>
    </row>
    <row r="5" ht="27.75" customHeight="1">
      <c r="A5" s="95" t="s">
        <v>138</v>
      </c>
      <c r="B5" s="3"/>
      <c r="C5" s="3"/>
      <c r="D5" s="3"/>
      <c r="E5" s="3"/>
      <c r="F5" s="4"/>
    </row>
    <row r="6" ht="25.5" customHeight="1">
      <c r="A6" s="96" t="s">
        <v>139</v>
      </c>
      <c r="B6" s="91"/>
      <c r="C6" s="97">
        <v>5000.0</v>
      </c>
      <c r="D6" s="98"/>
      <c r="E6" s="99"/>
      <c r="F6" s="100" t="s">
        <v>140</v>
      </c>
    </row>
    <row r="7" ht="25.5" customHeight="1">
      <c r="A7" s="96" t="s">
        <v>141</v>
      </c>
      <c r="B7" s="91"/>
      <c r="C7" s="97">
        <v>2.5</v>
      </c>
      <c r="D7" s="98"/>
      <c r="E7" s="99"/>
      <c r="F7" s="100" t="s">
        <v>142</v>
      </c>
    </row>
    <row r="8" ht="25.5" customHeight="1">
      <c r="A8" s="96" t="s">
        <v>143</v>
      </c>
      <c r="B8" s="91"/>
      <c r="C8" s="101">
        <v>0.03</v>
      </c>
      <c r="D8" s="98"/>
      <c r="E8" s="99"/>
      <c r="F8" s="100" t="s">
        <v>144</v>
      </c>
    </row>
    <row r="9" ht="25.5" customHeight="1">
      <c r="A9" s="96" t="s">
        <v>78</v>
      </c>
      <c r="B9" s="91"/>
      <c r="C9" s="97">
        <v>150.0</v>
      </c>
      <c r="D9" s="98"/>
      <c r="E9" s="99"/>
      <c r="F9" s="100" t="s">
        <v>145</v>
      </c>
    </row>
    <row r="10" ht="25.5" customHeight="1">
      <c r="A10" s="96" t="s">
        <v>79</v>
      </c>
      <c r="B10" s="91"/>
      <c r="C10" s="97">
        <v>50.0</v>
      </c>
      <c r="D10" s="98"/>
      <c r="E10" s="99"/>
      <c r="F10" s="100" t="s">
        <v>146</v>
      </c>
    </row>
    <row r="11" ht="25.5" customHeight="1">
      <c r="A11" s="96" t="s">
        <v>51</v>
      </c>
      <c r="B11" s="91"/>
      <c r="C11" s="102">
        <v>30.0</v>
      </c>
      <c r="D11" s="98"/>
      <c r="E11" s="99"/>
      <c r="F11" s="100" t="s">
        <v>147</v>
      </c>
    </row>
    <row r="12" ht="3.75" customHeight="1">
      <c r="A12" s="25"/>
      <c r="B12" s="3"/>
      <c r="C12" s="3"/>
      <c r="D12" s="3"/>
      <c r="E12" s="3"/>
      <c r="F12" s="4"/>
    </row>
    <row r="13" ht="27.75" customHeight="1">
      <c r="A13" s="27" t="s">
        <v>148</v>
      </c>
      <c r="B13" s="3"/>
      <c r="C13" s="3"/>
      <c r="D13" s="3"/>
      <c r="E13" s="3"/>
      <c r="F13" s="4"/>
    </row>
    <row r="14" ht="21.75" customHeight="1">
      <c r="A14" s="103" t="s">
        <v>149</v>
      </c>
      <c r="B14" s="91"/>
      <c r="C14" s="104" t="s">
        <v>150</v>
      </c>
      <c r="D14" s="104" t="s">
        <v>151</v>
      </c>
      <c r="E14" s="104" t="s">
        <v>152</v>
      </c>
      <c r="F14" s="104" t="s">
        <v>153</v>
      </c>
    </row>
    <row r="15" ht="25.5" customHeight="1">
      <c r="A15" s="96" t="s">
        <v>154</v>
      </c>
      <c r="B15" s="91"/>
      <c r="C15" s="105">
        <f>C7*1.4</f>
        <v>3.5</v>
      </c>
      <c r="D15" s="77">
        <f t="shared" ref="D15:D16" si="1">C7*1</f>
        <v>2.5</v>
      </c>
      <c r="E15" s="105">
        <f>C7*0.7</f>
        <v>1.75</v>
      </c>
      <c r="F15" s="100" t="s">
        <v>155</v>
      </c>
    </row>
    <row r="16" ht="25.5" customHeight="1">
      <c r="A16" s="96" t="s">
        <v>156</v>
      </c>
      <c r="B16" s="91"/>
      <c r="C16" s="106">
        <f>C8*0.7</f>
        <v>0.021</v>
      </c>
      <c r="D16" s="107">
        <f t="shared" si="1"/>
        <v>0.03</v>
      </c>
      <c r="E16" s="106">
        <f>C8*1.4</f>
        <v>0.042</v>
      </c>
      <c r="F16" s="100" t="s">
        <v>157</v>
      </c>
    </row>
    <row r="17" ht="25.5" customHeight="1">
      <c r="A17" s="96" t="s">
        <v>158</v>
      </c>
      <c r="B17" s="91"/>
      <c r="C17" s="108">
        <f>ROUND(C6/(1.4*C7),0)</f>
        <v>1429</v>
      </c>
      <c r="D17" s="76">
        <f>ROUND(C6/(1*C7),0)</f>
        <v>2000</v>
      </c>
      <c r="E17" s="108">
        <f>ROUND(C6/(0.7*C7),0)</f>
        <v>2857</v>
      </c>
      <c r="F17" s="100" t="s">
        <v>159</v>
      </c>
    </row>
    <row r="18" ht="25.5" customHeight="1">
      <c r="A18" s="96" t="s">
        <v>67</v>
      </c>
      <c r="B18" s="91"/>
      <c r="C18" s="109">
        <f>C6/C11</f>
        <v>166.6666667</v>
      </c>
      <c r="D18" s="77">
        <f>C6/C11</f>
        <v>166.6666667</v>
      </c>
      <c r="E18" s="109">
        <f>C6/C11</f>
        <v>166.6666667</v>
      </c>
      <c r="F18" s="100" t="s">
        <v>160</v>
      </c>
    </row>
    <row r="19" ht="25.5" customHeight="1">
      <c r="A19" s="96" t="s">
        <v>161</v>
      </c>
      <c r="B19" s="91"/>
      <c r="C19" s="110">
        <f>ROUND((C6/C11)/(1.4*C7),1)</f>
        <v>47.6</v>
      </c>
      <c r="D19" s="79">
        <f>ROUND((C6/C11)/(1*C7),1)</f>
        <v>66.7</v>
      </c>
      <c r="E19" s="110">
        <f>ROUND((C6/C11)/(0.7*C7),1)</f>
        <v>95.2</v>
      </c>
      <c r="F19" s="100" t="s">
        <v>162</v>
      </c>
    </row>
    <row r="20" ht="25.5" customHeight="1">
      <c r="A20" s="96" t="s">
        <v>163</v>
      </c>
      <c r="B20" s="91"/>
      <c r="C20" s="111">
        <f>ROUND(C6/(1.4*C7)*(0.7*C8),1)</f>
        <v>30</v>
      </c>
      <c r="D20" s="79">
        <f>ROUND(C6/(1*C7)*(1*C8),1)</f>
        <v>60</v>
      </c>
      <c r="E20" s="111">
        <f>ROUND(C6/(0.7*C7)*(1.4*C8),1)</f>
        <v>120</v>
      </c>
      <c r="F20" s="100" t="s">
        <v>164</v>
      </c>
    </row>
    <row r="21" ht="25.5" customHeight="1">
      <c r="A21" s="96" t="s">
        <v>165</v>
      </c>
      <c r="B21" s="91"/>
      <c r="C21" s="105">
        <f>IFERROR(C6/(C6/(1.4*C7)*(0.7*C8)),0)</f>
        <v>166.6666667</v>
      </c>
      <c r="D21" s="77">
        <f>IFERROR(C6/(C6/(1*C7)*(1*C8)),0)</f>
        <v>83.33333333</v>
      </c>
      <c r="E21" s="105">
        <f>IFERROR(C6/(C6/(0.7*C7)*(1.4*C8)),0)</f>
        <v>41.66666667</v>
      </c>
      <c r="F21" s="100" t="s">
        <v>166</v>
      </c>
    </row>
    <row r="22" ht="25.5" customHeight="1">
      <c r="A22" s="96" t="s">
        <v>167</v>
      </c>
      <c r="B22" s="91"/>
      <c r="C22" s="112">
        <f>C6/(1.4*C7)*(0.7*C8)*C9</f>
        <v>4500</v>
      </c>
      <c r="D22" s="77">
        <f>C6/(1*C7)*(1*C8)*C9</f>
        <v>9000</v>
      </c>
      <c r="E22" s="112">
        <f>C6/(0.7*C7)*(1.4*C8)*C9</f>
        <v>18000</v>
      </c>
      <c r="F22" s="100" t="s">
        <v>168</v>
      </c>
    </row>
    <row r="23" ht="25.5" customHeight="1">
      <c r="A23" s="96" t="s">
        <v>85</v>
      </c>
      <c r="B23" s="91"/>
      <c r="C23" s="112">
        <f>C6/(1.4*C7)*(0.7*C8)*(C9-C10)</f>
        <v>3000</v>
      </c>
      <c r="D23" s="77">
        <f>C6/(1*C7)*(1*C8)*(C9-C10)</f>
        <v>6000</v>
      </c>
      <c r="E23" s="112">
        <f>C6/(0.7*C7)*(1.4*C8)*(C9-C10)</f>
        <v>12000</v>
      </c>
      <c r="F23" s="100" t="s">
        <v>169</v>
      </c>
    </row>
    <row r="24" ht="25.5" customHeight="1">
      <c r="A24" s="96" t="s">
        <v>86</v>
      </c>
      <c r="B24" s="91"/>
      <c r="C24" s="112">
        <f>C6/(1.4*C7)*(0.7*C8)*(C9-C10)-C6</f>
        <v>-2000</v>
      </c>
      <c r="D24" s="77">
        <f>C6/(1*C7)*(1*C8)*(C9-C10)-C6</f>
        <v>1000</v>
      </c>
      <c r="E24" s="112">
        <f>C6/(0.7*C7)*(1.4*C8)*(C9-C10)-C6</f>
        <v>7000</v>
      </c>
      <c r="F24" s="100" t="s">
        <v>170</v>
      </c>
    </row>
    <row r="25" ht="25.5" customHeight="1">
      <c r="A25" s="96" t="s">
        <v>171</v>
      </c>
      <c r="B25" s="91"/>
      <c r="C25" s="113">
        <f>IFERROR(C6/(1.4*C7)*(0.7*C8)*C9/C6,0)</f>
        <v>0.9</v>
      </c>
      <c r="D25" s="114">
        <f>IFERROR(C6/(1*C7)*(1*C8)*C9/C6,0)</f>
        <v>1.8</v>
      </c>
      <c r="E25" s="113">
        <f>IFERROR(C6/(0.7*C7)*(1.4*C8)*C9/C6,0)</f>
        <v>3.6</v>
      </c>
      <c r="F25" s="100" t="s">
        <v>172</v>
      </c>
    </row>
    <row r="26" ht="25.5" customHeight="1">
      <c r="A26" s="96" t="s">
        <v>94</v>
      </c>
      <c r="B26" s="91"/>
      <c r="C26" s="115">
        <f>IFERROR((C6/(1.4*C7)*(0.7*C8)*(C9-C10)-C6)/C6*100,0)</f>
        <v>-40</v>
      </c>
      <c r="D26" s="107">
        <f>IFERROR((C6/(1*C7)*(1*C8)*(C9-C10)-C6)/C6*100,0)</f>
        <v>20</v>
      </c>
      <c r="E26" s="115">
        <f>IFERROR((C6/(0.7*C7)*(1.4*C8)*(C9-C10)-C6)/C6*100,0)</f>
        <v>140</v>
      </c>
      <c r="F26" s="100" t="s">
        <v>173</v>
      </c>
    </row>
    <row r="27" ht="25.5" customHeight="1">
      <c r="A27" s="96" t="s">
        <v>174</v>
      </c>
      <c r="B27" s="91"/>
      <c r="C27" s="116" t="str">
        <f>IF(C6/(1.4*C7)*(0.7*C8)*(C9-C10)-C6&gt;0,"✅ Yes","⚠️ No")</f>
        <v>⚠️ No</v>
      </c>
      <c r="D27" s="117" t="str">
        <f>IF(C6/(1*C7)*(1*C8)*(C9-C10)-C6&gt;0,"✅ Yes","⚠️ No")</f>
        <v>✅ Yes</v>
      </c>
      <c r="E27" s="116" t="str">
        <f>IF(C6/(0.7*C7)*(1.4*C8)*(C9-C10)-C6&gt;0,"✅ Yes","⚠️ No")</f>
        <v>✅ Yes</v>
      </c>
      <c r="F27" s="100" t="s">
        <v>175</v>
      </c>
    </row>
    <row r="28" ht="15.75" customHeight="1"/>
    <row r="29" ht="4.5" customHeight="1">
      <c r="A29" s="25"/>
      <c r="B29" s="3"/>
      <c r="C29" s="3"/>
      <c r="D29" s="3"/>
      <c r="E29" s="3"/>
      <c r="F29" s="4"/>
    </row>
    <row r="30" ht="18.0" customHeight="1">
      <c r="A30" s="23" t="s">
        <v>98</v>
      </c>
      <c r="B30" s="3"/>
      <c r="C30" s="3"/>
      <c r="D30" s="3"/>
      <c r="E30" s="3"/>
      <c r="F30" s="4"/>
    </row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9">
    <mergeCell ref="A1:F1"/>
    <mergeCell ref="A2:F2"/>
    <mergeCell ref="A3:F3"/>
    <mergeCell ref="A4:B4"/>
    <mergeCell ref="A5:F5"/>
    <mergeCell ref="A6:B6"/>
    <mergeCell ref="A7:B7"/>
    <mergeCell ref="A8:B8"/>
    <mergeCell ref="A9:B9"/>
    <mergeCell ref="A10:B10"/>
    <mergeCell ref="A11:B11"/>
    <mergeCell ref="A12:F12"/>
    <mergeCell ref="A13:F13"/>
    <mergeCell ref="A14:B14"/>
    <mergeCell ref="A22:B22"/>
    <mergeCell ref="A23:B23"/>
    <mergeCell ref="A24:B24"/>
    <mergeCell ref="A25:B25"/>
    <mergeCell ref="A26:B26"/>
    <mergeCell ref="A27:B27"/>
    <mergeCell ref="A29:F29"/>
    <mergeCell ref="A30:F30"/>
    <mergeCell ref="A15:B15"/>
    <mergeCell ref="A16:B16"/>
    <mergeCell ref="A17:B17"/>
    <mergeCell ref="A18:B18"/>
    <mergeCell ref="A19:B19"/>
    <mergeCell ref="A20:B20"/>
    <mergeCell ref="A21:B21"/>
  </mergeCells>
  <printOptions/>
  <pageMargins bottom="1.0" footer="0.0" header="0.0" left="0.75" right="0.75" top="1.0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26.0"/>
    <col customWidth="1" min="2" max="6" width="16.0"/>
    <col customWidth="1" min="7" max="7" width="14.0"/>
    <col customWidth="1" min="8" max="8" width="21.43"/>
    <col customWidth="1" min="9" max="26" width="8.71"/>
  </cols>
  <sheetData>
    <row r="1" ht="39.75" customHeight="1">
      <c r="A1" s="24" t="s">
        <v>176</v>
      </c>
      <c r="B1" s="3"/>
      <c r="C1" s="3"/>
      <c r="D1" s="3"/>
      <c r="E1" s="3"/>
      <c r="F1" s="3"/>
      <c r="G1" s="3"/>
      <c r="H1" s="4"/>
    </row>
    <row r="2" ht="4.5" customHeight="1">
      <c r="A2" s="25"/>
      <c r="B2" s="3"/>
      <c r="C2" s="3"/>
      <c r="D2" s="3"/>
      <c r="E2" s="3"/>
      <c r="F2" s="3"/>
      <c r="G2" s="3"/>
      <c r="H2" s="4"/>
    </row>
    <row r="3" ht="19.5" customHeight="1">
      <c r="A3" s="53" t="s">
        <v>177</v>
      </c>
      <c r="B3" s="3"/>
      <c r="C3" s="3"/>
      <c r="D3" s="3"/>
      <c r="E3" s="3"/>
      <c r="F3" s="3"/>
      <c r="G3" s="3"/>
      <c r="H3" s="4"/>
    </row>
    <row r="4" ht="27.75" customHeight="1">
      <c r="A4" s="118" t="s">
        <v>133</v>
      </c>
      <c r="B4" s="119" t="s">
        <v>178</v>
      </c>
      <c r="C4" s="120" t="s">
        <v>179</v>
      </c>
      <c r="D4" s="120" t="s">
        <v>180</v>
      </c>
      <c r="E4" s="120" t="s">
        <v>181</v>
      </c>
      <c r="F4" s="121" t="s">
        <v>182</v>
      </c>
      <c r="G4" s="121" t="s">
        <v>183</v>
      </c>
      <c r="H4" s="121" t="s">
        <v>184</v>
      </c>
    </row>
    <row r="5" ht="24.0" customHeight="1">
      <c r="A5" s="122" t="s">
        <v>185</v>
      </c>
      <c r="B5" s="123" t="s">
        <v>186</v>
      </c>
      <c r="C5" s="124" t="s">
        <v>187</v>
      </c>
      <c r="D5" s="124" t="s">
        <v>188</v>
      </c>
      <c r="E5" s="124" t="s">
        <v>189</v>
      </c>
      <c r="F5" s="124" t="s">
        <v>190</v>
      </c>
      <c r="G5" s="124" t="s">
        <v>191</v>
      </c>
      <c r="H5" s="124" t="s">
        <v>192</v>
      </c>
    </row>
    <row r="6" ht="27.75" customHeight="1">
      <c r="A6" s="27" t="s">
        <v>193</v>
      </c>
      <c r="B6" s="3"/>
      <c r="C6" s="3"/>
      <c r="D6" s="3"/>
      <c r="E6" s="3"/>
      <c r="F6" s="3"/>
      <c r="G6" s="3"/>
      <c r="H6" s="4"/>
    </row>
    <row r="7" ht="25.5" customHeight="1">
      <c r="A7" s="28" t="s">
        <v>194</v>
      </c>
      <c r="B7" s="125"/>
      <c r="C7" s="59"/>
      <c r="D7" s="59"/>
      <c r="E7" s="59"/>
      <c r="F7" s="126"/>
      <c r="G7" s="126"/>
      <c r="H7" s="127" t="s">
        <v>195</v>
      </c>
    </row>
    <row r="8" ht="25.5" customHeight="1">
      <c r="A8" s="28" t="s">
        <v>196</v>
      </c>
      <c r="B8" s="125"/>
      <c r="C8" s="67"/>
      <c r="D8" s="67"/>
      <c r="E8" s="67"/>
      <c r="F8" s="126"/>
      <c r="G8" s="126"/>
      <c r="H8" s="127" t="s">
        <v>197</v>
      </c>
    </row>
    <row r="9" ht="25.5" customHeight="1">
      <c r="A9" s="28" t="s">
        <v>198</v>
      </c>
      <c r="B9" s="125"/>
      <c r="C9" s="59"/>
      <c r="D9" s="59"/>
      <c r="E9" s="59"/>
      <c r="F9" s="126"/>
      <c r="G9" s="126"/>
      <c r="H9" s="127" t="s">
        <v>199</v>
      </c>
    </row>
    <row r="10" ht="25.5" customHeight="1">
      <c r="A10" s="28" t="s">
        <v>200</v>
      </c>
      <c r="B10" s="125"/>
      <c r="C10" s="67"/>
      <c r="D10" s="67"/>
      <c r="E10" s="67"/>
      <c r="F10" s="126"/>
      <c r="G10" s="126"/>
      <c r="H10" s="127" t="s">
        <v>201</v>
      </c>
    </row>
    <row r="11" ht="25.5" customHeight="1">
      <c r="A11" s="28" t="s">
        <v>202</v>
      </c>
      <c r="B11" s="125"/>
      <c r="C11" s="59"/>
      <c r="D11" s="59"/>
      <c r="E11" s="59"/>
      <c r="F11" s="126"/>
      <c r="G11" s="126"/>
      <c r="H11" s="127" t="s">
        <v>203</v>
      </c>
    </row>
    <row r="12" ht="25.5" customHeight="1">
      <c r="A12" s="28" t="s">
        <v>204</v>
      </c>
      <c r="B12" s="125"/>
      <c r="C12" s="67"/>
      <c r="D12" s="67"/>
      <c r="E12" s="67"/>
      <c r="F12" s="126"/>
      <c r="G12" s="126"/>
      <c r="H12" s="127" t="s">
        <v>205</v>
      </c>
    </row>
    <row r="13" ht="25.5" customHeight="1">
      <c r="A13" s="28" t="s">
        <v>206</v>
      </c>
      <c r="B13" s="125"/>
      <c r="C13" s="59"/>
      <c r="D13" s="59"/>
      <c r="E13" s="59"/>
      <c r="F13" s="126"/>
      <c r="G13" s="126"/>
      <c r="H13" s="127" t="s">
        <v>207</v>
      </c>
    </row>
    <row r="14" ht="27.75" customHeight="1">
      <c r="A14" s="27" t="s">
        <v>208</v>
      </c>
      <c r="B14" s="3"/>
      <c r="C14" s="3"/>
      <c r="D14" s="3"/>
      <c r="E14" s="3"/>
      <c r="F14" s="3"/>
      <c r="G14" s="3"/>
      <c r="H14" s="4"/>
    </row>
    <row r="15" ht="25.5" customHeight="1">
      <c r="A15" s="28" t="s">
        <v>209</v>
      </c>
      <c r="B15" s="125"/>
      <c r="C15" s="67"/>
      <c r="D15" s="67"/>
      <c r="E15" s="67"/>
      <c r="F15" s="126"/>
      <c r="G15" s="126"/>
      <c r="H15" s="127" t="s">
        <v>210</v>
      </c>
    </row>
    <row r="16" ht="25.5" customHeight="1">
      <c r="A16" s="28" t="s">
        <v>211</v>
      </c>
      <c r="B16" s="125"/>
      <c r="C16" s="59"/>
      <c r="D16" s="59"/>
      <c r="E16" s="59"/>
      <c r="F16" s="126"/>
      <c r="G16" s="126"/>
      <c r="H16" s="127" t="s">
        <v>212</v>
      </c>
    </row>
    <row r="17" ht="25.5" customHeight="1">
      <c r="A17" s="28" t="s">
        <v>213</v>
      </c>
      <c r="B17" s="125"/>
      <c r="C17" s="67"/>
      <c r="D17" s="67"/>
      <c r="E17" s="67"/>
      <c r="F17" s="126"/>
      <c r="G17" s="126"/>
      <c r="H17" s="127" t="s">
        <v>214</v>
      </c>
    </row>
    <row r="18" ht="25.5" customHeight="1">
      <c r="A18" s="28" t="s">
        <v>215</v>
      </c>
      <c r="B18" s="125"/>
      <c r="C18" s="59"/>
      <c r="D18" s="59"/>
      <c r="E18" s="59"/>
      <c r="F18" s="126"/>
      <c r="G18" s="126"/>
      <c r="H18" s="127" t="s">
        <v>216</v>
      </c>
    </row>
    <row r="19" ht="25.5" customHeight="1">
      <c r="A19" s="28" t="s">
        <v>217</v>
      </c>
      <c r="B19" s="125"/>
      <c r="C19" s="67"/>
      <c r="D19" s="67"/>
      <c r="E19" s="67"/>
      <c r="F19" s="126"/>
      <c r="G19" s="126"/>
      <c r="H19" s="127" t="s">
        <v>218</v>
      </c>
    </row>
    <row r="20" ht="25.5" customHeight="1">
      <c r="A20" s="28" t="s">
        <v>219</v>
      </c>
      <c r="B20" s="125"/>
      <c r="C20" s="59"/>
      <c r="D20" s="59"/>
      <c r="E20" s="59"/>
      <c r="F20" s="126"/>
      <c r="G20" s="126"/>
      <c r="H20" s="127" t="s">
        <v>220</v>
      </c>
    </row>
    <row r="21" ht="25.5" customHeight="1">
      <c r="A21" s="28" t="s">
        <v>221</v>
      </c>
      <c r="B21" s="125"/>
      <c r="C21" s="67"/>
      <c r="D21" s="67"/>
      <c r="E21" s="67"/>
      <c r="F21" s="126"/>
      <c r="G21" s="126"/>
      <c r="H21" s="127" t="s">
        <v>222</v>
      </c>
    </row>
    <row r="22" ht="25.5" customHeight="1">
      <c r="A22" s="28" t="s">
        <v>223</v>
      </c>
      <c r="B22" s="125"/>
      <c r="C22" s="59"/>
      <c r="D22" s="59"/>
      <c r="E22" s="59"/>
      <c r="F22" s="126"/>
      <c r="G22" s="126"/>
      <c r="H22" s="127" t="s">
        <v>224</v>
      </c>
    </row>
    <row r="23" ht="25.5" customHeight="1">
      <c r="A23" s="28" t="s">
        <v>225</v>
      </c>
      <c r="B23" s="125"/>
      <c r="C23" s="67"/>
      <c r="D23" s="67"/>
      <c r="E23" s="67"/>
      <c r="F23" s="126"/>
      <c r="G23" s="126"/>
      <c r="H23" s="127" t="s">
        <v>226</v>
      </c>
    </row>
    <row r="24" ht="15.75" customHeight="1"/>
    <row r="25" ht="4.5" customHeight="1">
      <c r="A25" s="25"/>
      <c r="B25" s="3"/>
      <c r="C25" s="3"/>
      <c r="D25" s="3"/>
      <c r="E25" s="3"/>
      <c r="F25" s="3"/>
      <c r="G25" s="3"/>
      <c r="H25" s="4"/>
    </row>
    <row r="26" ht="18.0" customHeight="1">
      <c r="A26" s="23" t="s">
        <v>98</v>
      </c>
      <c r="B26" s="3"/>
      <c r="C26" s="3"/>
      <c r="D26" s="3"/>
      <c r="E26" s="3"/>
      <c r="F26" s="3"/>
      <c r="G26" s="3"/>
      <c r="H26" s="4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1:H1"/>
    <mergeCell ref="A2:H2"/>
    <mergeCell ref="A3:H3"/>
    <mergeCell ref="A6:H6"/>
    <mergeCell ref="A14:H14"/>
    <mergeCell ref="A25:H25"/>
    <mergeCell ref="A26:H26"/>
  </mergeCells>
  <dataValidations>
    <dataValidation type="list" allowBlank="1" sqref="G7:G13 G15:G23">
      <formula1>"🥇 1st,🥈 2nd,🥉 3rd,4th+,Unknown"</formula1>
    </dataValidation>
  </dataValidations>
  <printOptions/>
  <pageMargins bottom="1.0" footer="0.0" header="0.0" left="0.75" right="0.75" top="1.0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xSplit="1.0" ySplit="4.0" topLeftCell="B5" activePane="bottomRight" state="frozen"/>
      <selection activeCell="B1" sqref="B1" pane="topRight"/>
      <selection activeCell="A5" sqref="A5" pane="bottomLeft"/>
      <selection activeCell="B5" sqref="B5" pane="bottomRight"/>
    </sheetView>
  </sheetViews>
  <sheetFormatPr customHeight="1" defaultColWidth="14.43" defaultRowHeight="15.0"/>
  <cols>
    <col customWidth="1" min="1" max="1" width="20.0"/>
    <col customWidth="1" min="2" max="13" width="13.0"/>
    <col customWidth="1" min="14" max="14" width="14.0"/>
    <col customWidth="1" min="15" max="26" width="8.71"/>
  </cols>
  <sheetData>
    <row r="1" ht="39.75" customHeight="1">
      <c r="A1" s="24" t="s">
        <v>227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4"/>
    </row>
    <row r="2" ht="4.5" customHeight="1">
      <c r="A2" s="25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4"/>
    </row>
    <row r="3" ht="21.75" customHeight="1">
      <c r="A3" s="53" t="s">
        <v>228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4"/>
    </row>
    <row r="4" ht="27.75" customHeight="1">
      <c r="A4" s="128" t="s">
        <v>229</v>
      </c>
      <c r="B4" s="129" t="s">
        <v>230</v>
      </c>
      <c r="C4" s="129" t="s">
        <v>231</v>
      </c>
      <c r="D4" s="129" t="s">
        <v>232</v>
      </c>
      <c r="E4" s="129" t="s">
        <v>233</v>
      </c>
      <c r="F4" s="129" t="s">
        <v>234</v>
      </c>
      <c r="G4" s="129" t="s">
        <v>235</v>
      </c>
      <c r="H4" s="129" t="s">
        <v>236</v>
      </c>
      <c r="I4" s="129" t="s">
        <v>237</v>
      </c>
      <c r="J4" s="129" t="s">
        <v>238</v>
      </c>
      <c r="K4" s="129" t="s">
        <v>239</v>
      </c>
      <c r="L4" s="129" t="s">
        <v>240</v>
      </c>
      <c r="M4" s="129" t="s">
        <v>241</v>
      </c>
      <c r="N4" s="130" t="s">
        <v>242</v>
      </c>
    </row>
    <row r="5" ht="25.5" customHeight="1">
      <c r="A5" s="131" t="s">
        <v>243</v>
      </c>
      <c r="B5" s="31">
        <v>0.0</v>
      </c>
      <c r="C5" s="31">
        <v>0.0</v>
      </c>
      <c r="D5" s="31">
        <v>0.0</v>
      </c>
      <c r="E5" s="31">
        <v>0.0</v>
      </c>
      <c r="F5" s="31">
        <v>0.0</v>
      </c>
      <c r="G5" s="31">
        <v>0.0</v>
      </c>
      <c r="H5" s="31">
        <v>0.0</v>
      </c>
      <c r="I5" s="31">
        <v>0.0</v>
      </c>
      <c r="J5" s="31">
        <v>0.0</v>
      </c>
      <c r="K5" s="31">
        <v>0.0</v>
      </c>
      <c r="L5" s="31">
        <v>0.0</v>
      </c>
      <c r="M5" s="31">
        <v>0.0</v>
      </c>
      <c r="N5" s="76">
        <f t="shared" ref="N5:N7" si="1">SUM(B5:M5)</f>
        <v>0</v>
      </c>
    </row>
    <row r="6" ht="25.5" customHeight="1">
      <c r="A6" s="131" t="s">
        <v>244</v>
      </c>
      <c r="B6" s="31">
        <v>0.0</v>
      </c>
      <c r="C6" s="31">
        <v>0.0</v>
      </c>
      <c r="D6" s="31">
        <v>0.0</v>
      </c>
      <c r="E6" s="31">
        <v>0.0</v>
      </c>
      <c r="F6" s="31">
        <v>0.0</v>
      </c>
      <c r="G6" s="31">
        <v>0.0</v>
      </c>
      <c r="H6" s="31">
        <v>0.0</v>
      </c>
      <c r="I6" s="31">
        <v>0.0</v>
      </c>
      <c r="J6" s="31">
        <v>0.0</v>
      </c>
      <c r="K6" s="31">
        <v>0.0</v>
      </c>
      <c r="L6" s="31">
        <v>0.0</v>
      </c>
      <c r="M6" s="31">
        <v>0.0</v>
      </c>
      <c r="N6" s="76">
        <f t="shared" si="1"/>
        <v>0</v>
      </c>
    </row>
    <row r="7" ht="25.5" customHeight="1">
      <c r="A7" s="131" t="s">
        <v>245</v>
      </c>
      <c r="B7" s="31">
        <v>0.0</v>
      </c>
      <c r="C7" s="31">
        <v>0.0</v>
      </c>
      <c r="D7" s="31">
        <v>0.0</v>
      </c>
      <c r="E7" s="31">
        <v>0.0</v>
      </c>
      <c r="F7" s="31">
        <v>0.0</v>
      </c>
      <c r="G7" s="31">
        <v>0.0</v>
      </c>
      <c r="H7" s="31">
        <v>0.0</v>
      </c>
      <c r="I7" s="31">
        <v>0.0</v>
      </c>
      <c r="J7" s="31">
        <v>0.0</v>
      </c>
      <c r="K7" s="31">
        <v>0.0</v>
      </c>
      <c r="L7" s="31">
        <v>0.0</v>
      </c>
      <c r="M7" s="31">
        <v>0.0</v>
      </c>
      <c r="N7" s="76">
        <f t="shared" si="1"/>
        <v>0</v>
      </c>
    </row>
    <row r="8" ht="25.5" customHeight="1">
      <c r="A8" s="28" t="s">
        <v>246</v>
      </c>
      <c r="B8" s="115">
        <f t="shared" ref="B8:M8" si="2">IFERROR(B7/B9,0)</f>
        <v>0</v>
      </c>
      <c r="C8" s="115">
        <f t="shared" si="2"/>
        <v>0</v>
      </c>
      <c r="D8" s="115">
        <f t="shared" si="2"/>
        <v>0</v>
      </c>
      <c r="E8" s="115">
        <f t="shared" si="2"/>
        <v>0</v>
      </c>
      <c r="F8" s="115">
        <f t="shared" si="2"/>
        <v>0</v>
      </c>
      <c r="G8" s="115">
        <f t="shared" si="2"/>
        <v>0</v>
      </c>
      <c r="H8" s="115">
        <f t="shared" si="2"/>
        <v>0</v>
      </c>
      <c r="I8" s="115">
        <f t="shared" si="2"/>
        <v>0</v>
      </c>
      <c r="J8" s="115">
        <f t="shared" si="2"/>
        <v>0</v>
      </c>
      <c r="K8" s="115">
        <f t="shared" si="2"/>
        <v>0</v>
      </c>
      <c r="L8" s="115">
        <f t="shared" si="2"/>
        <v>0</v>
      </c>
      <c r="M8" s="115">
        <f t="shared" si="2"/>
        <v>0</v>
      </c>
      <c r="N8" s="132">
        <f t="shared" ref="N8:N9" si="4">AVERAGE(B8:M8)</f>
        <v>0</v>
      </c>
    </row>
    <row r="9" ht="25.5" customHeight="1">
      <c r="A9" s="28" t="s">
        <v>247</v>
      </c>
      <c r="B9" s="112">
        <f t="shared" ref="B9:M9" si="3">IFERROR(B6/B7,0)</f>
        <v>0</v>
      </c>
      <c r="C9" s="112">
        <f t="shared" si="3"/>
        <v>0</v>
      </c>
      <c r="D9" s="112">
        <f t="shared" si="3"/>
        <v>0</v>
      </c>
      <c r="E9" s="112">
        <f t="shared" si="3"/>
        <v>0</v>
      </c>
      <c r="F9" s="112">
        <f t="shared" si="3"/>
        <v>0</v>
      </c>
      <c r="G9" s="112">
        <f t="shared" si="3"/>
        <v>0</v>
      </c>
      <c r="H9" s="112">
        <f t="shared" si="3"/>
        <v>0</v>
      </c>
      <c r="I9" s="112">
        <f t="shared" si="3"/>
        <v>0</v>
      </c>
      <c r="J9" s="112">
        <f t="shared" si="3"/>
        <v>0</v>
      </c>
      <c r="K9" s="112">
        <f t="shared" si="3"/>
        <v>0</v>
      </c>
      <c r="L9" s="112">
        <f t="shared" si="3"/>
        <v>0</v>
      </c>
      <c r="M9" s="112">
        <f t="shared" si="3"/>
        <v>0</v>
      </c>
      <c r="N9" s="133">
        <f t="shared" si="4"/>
        <v>0</v>
      </c>
    </row>
    <row r="10" ht="25.5" customHeight="1">
      <c r="A10" s="131" t="s">
        <v>248</v>
      </c>
      <c r="B10" s="31">
        <v>0.0</v>
      </c>
      <c r="C10" s="31">
        <v>0.0</v>
      </c>
      <c r="D10" s="31">
        <v>0.0</v>
      </c>
      <c r="E10" s="31">
        <v>0.0</v>
      </c>
      <c r="F10" s="31">
        <v>0.0</v>
      </c>
      <c r="G10" s="31">
        <v>0.0</v>
      </c>
      <c r="H10" s="31">
        <v>0.0</v>
      </c>
      <c r="I10" s="31">
        <v>0.0</v>
      </c>
      <c r="J10" s="31">
        <v>0.0</v>
      </c>
      <c r="K10" s="31">
        <v>0.0</v>
      </c>
      <c r="L10" s="31">
        <v>0.0</v>
      </c>
      <c r="M10" s="31">
        <v>0.0</v>
      </c>
      <c r="N10" s="76">
        <f>SUM(B10:M10)</f>
        <v>0</v>
      </c>
    </row>
    <row r="11" ht="25.5" customHeight="1">
      <c r="A11" s="28" t="s">
        <v>249</v>
      </c>
      <c r="B11" s="115">
        <f t="shared" ref="B11:M11" si="5">IFERROR(B10/B7,0)</f>
        <v>0</v>
      </c>
      <c r="C11" s="115">
        <f t="shared" si="5"/>
        <v>0</v>
      </c>
      <c r="D11" s="115">
        <f t="shared" si="5"/>
        <v>0</v>
      </c>
      <c r="E11" s="115">
        <f t="shared" si="5"/>
        <v>0</v>
      </c>
      <c r="F11" s="115">
        <f t="shared" si="5"/>
        <v>0</v>
      </c>
      <c r="G11" s="115">
        <f t="shared" si="5"/>
        <v>0</v>
      </c>
      <c r="H11" s="115">
        <f t="shared" si="5"/>
        <v>0</v>
      </c>
      <c r="I11" s="115">
        <f t="shared" si="5"/>
        <v>0</v>
      </c>
      <c r="J11" s="115">
        <f t="shared" si="5"/>
        <v>0</v>
      </c>
      <c r="K11" s="115">
        <f t="shared" si="5"/>
        <v>0</v>
      </c>
      <c r="L11" s="115">
        <f t="shared" si="5"/>
        <v>0</v>
      </c>
      <c r="M11" s="115">
        <f t="shared" si="5"/>
        <v>0</v>
      </c>
      <c r="N11" s="132">
        <f>AVERAGE(B11:M11)</f>
        <v>0</v>
      </c>
    </row>
    <row r="12" ht="25.5" customHeight="1">
      <c r="A12" s="131" t="s">
        <v>250</v>
      </c>
      <c r="B12" s="32">
        <v>0.0</v>
      </c>
      <c r="C12" s="32">
        <v>0.0</v>
      </c>
      <c r="D12" s="32">
        <v>0.0</v>
      </c>
      <c r="E12" s="32">
        <v>0.0</v>
      </c>
      <c r="F12" s="32">
        <v>0.0</v>
      </c>
      <c r="G12" s="32">
        <v>0.0</v>
      </c>
      <c r="H12" s="32">
        <v>0.0</v>
      </c>
      <c r="I12" s="32">
        <v>0.0</v>
      </c>
      <c r="J12" s="32">
        <v>0.0</v>
      </c>
      <c r="K12" s="32">
        <v>0.0</v>
      </c>
      <c r="L12" s="32">
        <v>0.0</v>
      </c>
      <c r="M12" s="32">
        <v>0.0</v>
      </c>
      <c r="N12" s="77">
        <f>SUM(B12:M12)</f>
        <v>0</v>
      </c>
    </row>
    <row r="13" ht="25.5" customHeight="1">
      <c r="A13" s="28" t="s">
        <v>251</v>
      </c>
      <c r="B13" s="112">
        <f t="shared" ref="B13:M13" si="6">IFERROR(B6/B11,0)</f>
        <v>0</v>
      </c>
      <c r="C13" s="112">
        <f t="shared" si="6"/>
        <v>0</v>
      </c>
      <c r="D13" s="112">
        <f t="shared" si="6"/>
        <v>0</v>
      </c>
      <c r="E13" s="112">
        <f t="shared" si="6"/>
        <v>0</v>
      </c>
      <c r="F13" s="112">
        <f t="shared" si="6"/>
        <v>0</v>
      </c>
      <c r="G13" s="112">
        <f t="shared" si="6"/>
        <v>0</v>
      </c>
      <c r="H13" s="112">
        <f t="shared" si="6"/>
        <v>0</v>
      </c>
      <c r="I13" s="112">
        <f t="shared" si="6"/>
        <v>0</v>
      </c>
      <c r="J13" s="112">
        <f t="shared" si="6"/>
        <v>0</v>
      </c>
      <c r="K13" s="112">
        <f t="shared" si="6"/>
        <v>0</v>
      </c>
      <c r="L13" s="112">
        <f t="shared" si="6"/>
        <v>0</v>
      </c>
      <c r="M13" s="112">
        <f t="shared" si="6"/>
        <v>0</v>
      </c>
      <c r="N13" s="133">
        <f t="shared" ref="N13:N14" si="8">AVERAGE(B13:M13)</f>
        <v>0</v>
      </c>
    </row>
    <row r="14" ht="25.5" customHeight="1">
      <c r="A14" s="28" t="s">
        <v>252</v>
      </c>
      <c r="B14" s="113">
        <f t="shared" ref="B14:M14" si="7">IFERROR(B13/B6,0)</f>
        <v>0</v>
      </c>
      <c r="C14" s="113">
        <f t="shared" si="7"/>
        <v>0</v>
      </c>
      <c r="D14" s="113">
        <f t="shared" si="7"/>
        <v>0</v>
      </c>
      <c r="E14" s="113">
        <f t="shared" si="7"/>
        <v>0</v>
      </c>
      <c r="F14" s="113">
        <f t="shared" si="7"/>
        <v>0</v>
      </c>
      <c r="G14" s="113">
        <f t="shared" si="7"/>
        <v>0</v>
      </c>
      <c r="H14" s="113">
        <f t="shared" si="7"/>
        <v>0</v>
      </c>
      <c r="I14" s="113">
        <f t="shared" si="7"/>
        <v>0</v>
      </c>
      <c r="J14" s="113">
        <f t="shared" si="7"/>
        <v>0</v>
      </c>
      <c r="K14" s="113">
        <f t="shared" si="7"/>
        <v>0</v>
      </c>
      <c r="L14" s="113">
        <f t="shared" si="7"/>
        <v>0</v>
      </c>
      <c r="M14" s="113">
        <f t="shared" si="7"/>
        <v>0</v>
      </c>
      <c r="N14" s="134">
        <f t="shared" si="8"/>
        <v>0</v>
      </c>
    </row>
    <row r="15" ht="25.5" customHeight="1">
      <c r="A15" s="28" t="s">
        <v>253</v>
      </c>
      <c r="B15" s="112">
        <f t="shared" ref="B15:M15" si="9">B12-B5</f>
        <v>0</v>
      </c>
      <c r="C15" s="112">
        <f t="shared" si="9"/>
        <v>0</v>
      </c>
      <c r="D15" s="112">
        <f t="shared" si="9"/>
        <v>0</v>
      </c>
      <c r="E15" s="112">
        <f t="shared" si="9"/>
        <v>0</v>
      </c>
      <c r="F15" s="112">
        <f t="shared" si="9"/>
        <v>0</v>
      </c>
      <c r="G15" s="112">
        <f t="shared" si="9"/>
        <v>0</v>
      </c>
      <c r="H15" s="112">
        <f t="shared" si="9"/>
        <v>0</v>
      </c>
      <c r="I15" s="112">
        <f t="shared" si="9"/>
        <v>0</v>
      </c>
      <c r="J15" s="112">
        <f t="shared" si="9"/>
        <v>0</v>
      </c>
      <c r="K15" s="112">
        <f t="shared" si="9"/>
        <v>0</v>
      </c>
      <c r="L15" s="112">
        <f t="shared" si="9"/>
        <v>0</v>
      </c>
      <c r="M15" s="112">
        <f t="shared" si="9"/>
        <v>0</v>
      </c>
      <c r="N15" s="133">
        <f>SUM(B15:M15)</f>
        <v>0</v>
      </c>
    </row>
    <row r="16" ht="25.5" customHeight="1">
      <c r="A16" s="28" t="s">
        <v>254</v>
      </c>
      <c r="B16" s="115">
        <f t="shared" ref="B16:M16" si="10">IFERROR((B12-B5)/B5*100,0)</f>
        <v>0</v>
      </c>
      <c r="C16" s="115">
        <f t="shared" si="10"/>
        <v>0</v>
      </c>
      <c r="D16" s="115">
        <f t="shared" si="10"/>
        <v>0</v>
      </c>
      <c r="E16" s="115">
        <f t="shared" si="10"/>
        <v>0</v>
      </c>
      <c r="F16" s="115">
        <f t="shared" si="10"/>
        <v>0</v>
      </c>
      <c r="G16" s="115">
        <f t="shared" si="10"/>
        <v>0</v>
      </c>
      <c r="H16" s="115">
        <f t="shared" si="10"/>
        <v>0</v>
      </c>
      <c r="I16" s="115">
        <f t="shared" si="10"/>
        <v>0</v>
      </c>
      <c r="J16" s="115">
        <f t="shared" si="10"/>
        <v>0</v>
      </c>
      <c r="K16" s="115">
        <f t="shared" si="10"/>
        <v>0</v>
      </c>
      <c r="L16" s="115">
        <f t="shared" si="10"/>
        <v>0</v>
      </c>
      <c r="M16" s="115">
        <f t="shared" si="10"/>
        <v>0</v>
      </c>
      <c r="N16" s="132">
        <f>AVERAGE(B16:M16)</f>
        <v>0</v>
      </c>
    </row>
    <row r="17" ht="19.5" customHeight="1">
      <c r="A17" s="34" t="s">
        <v>255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4"/>
    </row>
    <row r="19" ht="4.5" customHeight="1">
      <c r="A19" s="25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4"/>
    </row>
    <row r="20" ht="18.0" customHeight="1">
      <c r="A20" s="23" t="s">
        <v>98</v>
      </c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">
    <mergeCell ref="A1:N1"/>
    <mergeCell ref="A2:N2"/>
    <mergeCell ref="A3:N3"/>
    <mergeCell ref="A17:N17"/>
    <mergeCell ref="A19:N19"/>
    <mergeCell ref="A20:N20"/>
  </mergeCells>
  <printOptions/>
  <pageMargins bottom="1.0" footer="0.0" header="0.0" left="0.75" right="0.75" top="1.0"/>
  <pageSetup orientation="landscape"/>
  <drawing r:id="rId1"/>
</worksheet>
</file>